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sgalinato\Dropbox\Ongoing Projects\Enterprise Budgets\Hops Enterprise Budget\Published version\"/>
    </mc:Choice>
  </mc:AlternateContent>
  <xr:revisionPtr revIDLastSave="0" documentId="8_{86F305F9-7230-4B80-925E-5076655B77CB}" xr6:coauthVersionLast="47" xr6:coauthVersionMax="47" xr10:uidLastSave="{00000000-0000-0000-0000-000000000000}"/>
  <bookViews>
    <workbookView xWindow="-108" yWindow="-108" windowWidth="23256" windowHeight="12576" tabRatio="899" xr2:uid="{00000000-000D-0000-FFFF-FFFF00000000}"/>
  </bookViews>
  <sheets>
    <sheet name="Assumptions" sheetId="1" r:id="rId1"/>
    <sheet name="Establishment" sheetId="2" r:id="rId2"/>
    <sheet name="Hop Production" sheetId="3" r:id="rId3"/>
    <sheet name="BE Return-Aroma" sheetId="9" r:id="rId4"/>
    <sheet name="Price&amp;Yield Analysis" sheetId="4" r:id="rId5"/>
    <sheet name="App1. Machinery Etc" sheetId="5" r:id="rId6"/>
    <sheet name="App2. Capital Req" sheetId="6" r:id="rId7"/>
    <sheet name="App3. Amortization calc" sheetId="7" r:id="rId8"/>
  </sheets>
  <definedNames>
    <definedName name="_xlnm.Print_Area" localSheetId="1">Establishment!$B$2:$D$29</definedName>
    <definedName name="_xlnm.Print_Area" localSheetId="2">'Hop Production'!$B$2:$F$43</definedName>
    <definedName name="Z_4DF746F6_C3F2_4BEF_B84D_60D120277636_.wvu.PrintArea" localSheetId="1" hidden="1">Establishment!$B$2:$D$29</definedName>
    <definedName name="Z_4DF746F6_C3F2_4BEF_B84D_60D120277636_.wvu.PrintArea" localSheetId="2" hidden="1">'Hop Production'!$B$2:$F$43</definedName>
    <definedName name="Z_76B766A5_443C_4C54_86C8_F5C661F06BFC_.wvu.PrintArea" localSheetId="1" hidden="1">Establishment!$B$2:$D$29</definedName>
    <definedName name="Z_76B766A5_443C_4C54_86C8_F5C661F06BFC_.wvu.PrintArea" localSheetId="2" hidden="1">'Hop Production'!$B$2:$F$43</definedName>
  </definedNames>
  <calcPr calcId="191029"/>
  <customWorkbookViews>
    <customWorkbookView name="Mangiapani, Christina L - Personal View" guid="{4DF746F6-C3F2-4BEF-B84D-60D120277636}" mergeInterval="0" personalView="1" xWindow="1928" yWindow="8" windowWidth="1854" windowHeight="1046" activeSheetId="6"/>
    <customWorkbookView name="Suzette P. Galinato - Personal View" guid="{76B766A5-443C-4C54-86C8-F5C661F06BFC}" mergeInterval="0" personalView="1" maximized="1" xWindow="1" yWindow="1" windowWidth="1530" windowHeight="83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B7" i="4"/>
  <c r="B6" i="4" s="1"/>
  <c r="B5" i="4" s="1"/>
  <c r="D39" i="5" l="1"/>
  <c r="E39" i="5" s="1"/>
  <c r="I39" i="5" l="1"/>
  <c r="H39" i="5"/>
  <c r="D15" i="9"/>
  <c r="E32" i="3" l="1"/>
  <c r="D32" i="3"/>
  <c r="E31" i="3"/>
  <c r="D31" i="3"/>
  <c r="G25" i="5" l="1"/>
  <c r="G24" i="5"/>
  <c r="G23" i="5"/>
  <c r="D38" i="5"/>
  <c r="E38" i="5" s="1"/>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1" i="5" s="1"/>
  <c r="E24" i="3"/>
  <c r="D24" i="3"/>
  <c r="C23" i="2"/>
  <c r="C11" i="2"/>
  <c r="H38" i="5" l="1"/>
  <c r="I38" i="5"/>
  <c r="C12" i="2"/>
  <c r="I25" i="5" l="1"/>
  <c r="H25" i="5"/>
  <c r="C6" i="6" l="1"/>
  <c r="H6" i="5" l="1"/>
  <c r="I36" i="5"/>
  <c r="H35" i="5"/>
  <c r="I34" i="5"/>
  <c r="H33" i="5"/>
  <c r="I32" i="5"/>
  <c r="H31" i="5"/>
  <c r="I30" i="5"/>
  <c r="H29" i="5"/>
  <c r="I28" i="5"/>
  <c r="H27" i="5"/>
  <c r="I26" i="5"/>
  <c r="H24" i="5"/>
  <c r="I23" i="5"/>
  <c r="H22" i="5"/>
  <c r="I21" i="5"/>
  <c r="H20" i="5"/>
  <c r="I19" i="5"/>
  <c r="H18" i="5"/>
  <c r="I17" i="5"/>
  <c r="H16" i="5"/>
  <c r="I15" i="5"/>
  <c r="H14" i="5"/>
  <c r="I13" i="5"/>
  <c r="H12" i="5"/>
  <c r="I11" i="5"/>
  <c r="H10" i="5"/>
  <c r="I9" i="5"/>
  <c r="H8" i="5"/>
  <c r="I7" i="5"/>
  <c r="H5" i="5" l="1"/>
  <c r="D7" i="6"/>
  <c r="D8" i="6"/>
  <c r="D5" i="3"/>
  <c r="H34" i="5"/>
  <c r="H30" i="5"/>
  <c r="H26" i="5"/>
  <c r="H21" i="5"/>
  <c r="H17" i="5"/>
  <c r="H13" i="5"/>
  <c r="H9" i="5"/>
  <c r="I6" i="5"/>
  <c r="H36" i="5"/>
  <c r="H32" i="5"/>
  <c r="H28" i="5"/>
  <c r="H23" i="5"/>
  <c r="H19" i="5"/>
  <c r="H15" i="5"/>
  <c r="H11" i="5"/>
  <c r="H7" i="5"/>
  <c r="D25" i="3"/>
  <c r="D9" i="6" s="1"/>
  <c r="I5" i="5"/>
  <c r="I35" i="5"/>
  <c r="I33" i="5"/>
  <c r="I31" i="5"/>
  <c r="I29" i="5"/>
  <c r="I27" i="5"/>
  <c r="I24" i="5"/>
  <c r="I22" i="5"/>
  <c r="I20" i="5"/>
  <c r="I18" i="5"/>
  <c r="I16" i="5"/>
  <c r="I14" i="5"/>
  <c r="I12" i="5"/>
  <c r="I10" i="5"/>
  <c r="I8" i="5"/>
  <c r="I41" i="5" l="1"/>
  <c r="H41" i="5"/>
  <c r="H42" i="5" s="1"/>
  <c r="I42" i="5"/>
  <c r="D10" i="3"/>
  <c r="D12" i="6" s="1"/>
  <c r="D10" i="6"/>
  <c r="D14" i="6" l="1"/>
  <c r="D29" i="3"/>
  <c r="E29" i="3"/>
  <c r="D28" i="3"/>
  <c r="E28" i="3"/>
  <c r="D38" i="3" l="1"/>
  <c r="D40" i="3" s="1"/>
  <c r="D43" i="3" l="1"/>
  <c r="C24" i="2"/>
  <c r="C27" i="2" l="1"/>
  <c r="C5" i="7" s="1"/>
  <c r="E25" i="3"/>
  <c r="E9" i="6" l="1"/>
  <c r="D7" i="9"/>
  <c r="E7" i="9" s="1"/>
  <c r="D5" i="9"/>
  <c r="E5" i="9" s="1"/>
  <c r="E10" i="6"/>
  <c r="C9" i="6"/>
  <c r="E10" i="3"/>
  <c r="C9" i="7"/>
  <c r="E37" i="3" s="1"/>
  <c r="D10" i="9" l="1"/>
  <c r="E10" i="9" s="1"/>
  <c r="C10" i="6"/>
  <c r="E12" i="6"/>
  <c r="E14" i="6" s="1"/>
  <c r="E38" i="3"/>
  <c r="D7" i="4" l="1"/>
  <c r="C8" i="4"/>
  <c r="E8" i="4"/>
  <c r="D9" i="4"/>
  <c r="H8" i="4"/>
  <c r="F7" i="4"/>
  <c r="D8" i="4"/>
  <c r="F8" i="4"/>
  <c r="F9" i="4"/>
  <c r="H9" i="4"/>
  <c r="E9" i="4"/>
  <c r="C7" i="4"/>
  <c r="C6" i="4"/>
  <c r="C5" i="4"/>
  <c r="F6" i="4"/>
  <c r="F5" i="4"/>
  <c r="D5" i="4"/>
  <c r="H7" i="4"/>
  <c r="C9" i="4"/>
  <c r="E7" i="4"/>
  <c r="E6" i="4"/>
  <c r="E5" i="4"/>
  <c r="H5" i="4"/>
  <c r="D6" i="4"/>
  <c r="H6" i="4"/>
  <c r="G5" i="4"/>
  <c r="G7" i="4"/>
  <c r="G9" i="4"/>
  <c r="G6" i="4"/>
  <c r="G8" i="4"/>
  <c r="C14" i="6"/>
  <c r="E40" i="3"/>
  <c r="E46" i="3" l="1"/>
  <c r="D13" i="9"/>
  <c r="E13" i="9" s="1"/>
  <c r="E49" i="3"/>
  <c r="E43" i="3"/>
</calcChain>
</file>

<file path=xl/sharedStrings.xml><?xml version="1.0" encoding="utf-8"?>
<sst xmlns="http://schemas.openxmlformats.org/spreadsheetml/2006/main" count="251" uniqueCount="229">
  <si>
    <t>Comments and Notes</t>
  </si>
  <si>
    <t>Chemicals</t>
  </si>
  <si>
    <t xml:space="preserve"> Includes equipment, trellis, irrigation, facilities</t>
  </si>
  <si>
    <t>Supplies</t>
  </si>
  <si>
    <t>Utilities</t>
  </si>
  <si>
    <t>Seasonal Labor</t>
  </si>
  <si>
    <t>Total Variable Costs</t>
  </si>
  <si>
    <t>Total Fixed Costs</t>
  </si>
  <si>
    <t xml:space="preserve"> Includes N, P, K, S, Zn and other plant nutrients</t>
  </si>
  <si>
    <t xml:space="preserve"> Includes all herbicides, pesticides, and fungicides (for powdery mildew control)</t>
  </si>
  <si>
    <t>Consulting</t>
  </si>
  <si>
    <t xml:space="preserve"> Includes agricultural field consulting</t>
  </si>
  <si>
    <t xml:space="preserve"> Includes custom spraying, harvesting, tractor work, etc.</t>
  </si>
  <si>
    <t>Overhead</t>
  </si>
  <si>
    <t xml:space="preserve"> Includes property insurance, crop insurance and liability insurance</t>
  </si>
  <si>
    <t xml:space="preserve"> Cost of electricity and telephones</t>
  </si>
  <si>
    <t xml:space="preserve">Management </t>
  </si>
  <si>
    <t>Administration</t>
  </si>
  <si>
    <t>Estimated Price ($/lb)</t>
  </si>
  <si>
    <t>$/Acre</t>
  </si>
  <si>
    <t xml:space="preserve"> Includes health insurance, employer taxes, etc.</t>
  </si>
  <si>
    <t xml:space="preserve"> Includes office supplies and professional services (attorney, accounting, etc.)</t>
  </si>
  <si>
    <t xml:space="preserve"> Includes twine &amp; clips, and packaging supplies</t>
  </si>
  <si>
    <t xml:space="preserve">     Disc</t>
  </si>
  <si>
    <t xml:space="preserve">     Subsoil</t>
  </si>
  <si>
    <t xml:space="preserve">     Plow/Rototill</t>
  </si>
  <si>
    <t xml:space="preserve">     Cultipack/Sprtooth (2X)</t>
  </si>
  <si>
    <t xml:space="preserve">     Fumigate</t>
  </si>
  <si>
    <t xml:space="preserve">     Interest</t>
  </si>
  <si>
    <t>Total Land Preparation</t>
  </si>
  <si>
    <t xml:space="preserve">     Field Poles</t>
  </si>
  <si>
    <t xml:space="preserve">     Anchor Poles</t>
  </si>
  <si>
    <t xml:space="preserve">     Anchor Holes</t>
  </si>
  <si>
    <t xml:space="preserve">     Anchor Material</t>
  </si>
  <si>
    <t xml:space="preserve">     Labor</t>
  </si>
  <si>
    <t xml:space="preserve">     Management</t>
  </si>
  <si>
    <t>Total Establishment Cost</t>
  </si>
  <si>
    <t>Total Land Preparation and</t>
  </si>
  <si>
    <t xml:space="preserve">     Establishment Costs</t>
  </si>
  <si>
    <t xml:space="preserve"> October-November of Previous Year</t>
  </si>
  <si>
    <t xml:space="preserve"> Custom hire </t>
  </si>
  <si>
    <t>Land Preparation</t>
  </si>
  <si>
    <t>Establishment</t>
  </si>
  <si>
    <t xml:space="preserve"> Includes benefits, social security, etc. for management personnel</t>
  </si>
  <si>
    <t xml:space="preserve"> Includes benefits, social security, etc. for administration personnel</t>
  </si>
  <si>
    <t>1.</t>
  </si>
  <si>
    <t>2.</t>
  </si>
  <si>
    <t>3.</t>
  </si>
  <si>
    <t>4.</t>
  </si>
  <si>
    <t>5.</t>
  </si>
  <si>
    <t>6.</t>
  </si>
  <si>
    <t>7.</t>
  </si>
  <si>
    <t>8.</t>
  </si>
  <si>
    <t>The specifications for hop production are listed in the table below:</t>
  </si>
  <si>
    <t>Table 1. Hop Production Specifications</t>
  </si>
  <si>
    <t>660 acres</t>
  </si>
  <si>
    <t>600 acres</t>
  </si>
  <si>
    <t>3.5 feet</t>
  </si>
  <si>
    <t>14 feet</t>
  </si>
  <si>
    <t>5 years</t>
  </si>
  <si>
    <t>9.</t>
  </si>
  <si>
    <t>Amortized Establishment Cost</t>
  </si>
  <si>
    <t>Aroma</t>
  </si>
  <si>
    <t>Estimated Production Level (Lb/acre)</t>
  </si>
  <si>
    <t>Notes:</t>
  </si>
  <si>
    <t>10 hours @ $20/hour</t>
  </si>
  <si>
    <t xml:space="preserve"> Includes gasoline, diesel, lubricants, propane</t>
  </si>
  <si>
    <t>Quantity</t>
  </si>
  <si>
    <t>Total Cost ($)</t>
  </si>
  <si>
    <t>Expected Useful Life (years)</t>
  </si>
  <si>
    <t>100-HP Wheel Tractor</t>
  </si>
  <si>
    <t>75-HP Wheel Tractor</t>
  </si>
  <si>
    <t>60-HP Wheel Tractor</t>
  </si>
  <si>
    <t>Tractor/Loader</t>
  </si>
  <si>
    <t>Tractor/Loader/Backhoe</t>
  </si>
  <si>
    <t>Hyster Loader</t>
  </si>
  <si>
    <t>Top Cutter</t>
  </si>
  <si>
    <t>Bottom Cutter</t>
  </si>
  <si>
    <t>T-Bar with Shanks</t>
  </si>
  <si>
    <t>12' Cultivator</t>
  </si>
  <si>
    <t>Blast Sprayer</t>
  </si>
  <si>
    <t>Ground Sprayer</t>
  </si>
  <si>
    <t>Mechanical Pruner</t>
  </si>
  <si>
    <t>Wire/Tube Roller</t>
  </si>
  <si>
    <t>Manager's Pickup</t>
  </si>
  <si>
    <t xml:space="preserve">Foreman's Pickup </t>
  </si>
  <si>
    <t xml:space="preserve">Labor's Pickup </t>
  </si>
  <si>
    <t>4 Wheeler</t>
  </si>
  <si>
    <t xml:space="preserve">Service Truck </t>
  </si>
  <si>
    <t>Spreader Truck</t>
  </si>
  <si>
    <t>Total</t>
  </si>
  <si>
    <t>Interest rate</t>
  </si>
  <si>
    <t>Total farm area</t>
  </si>
  <si>
    <t>Machine Shop and Shed</t>
  </si>
  <si>
    <t xml:space="preserve"> Includes machine, equipment, shop, office and irrigation infrastructure</t>
  </si>
  <si>
    <t>Depreciation ($)</t>
  </si>
  <si>
    <t>Interest ($)</t>
  </si>
  <si>
    <t xml:space="preserve">     Design</t>
  </si>
  <si>
    <t>Building/Machine/Equipment/ Irrigation</t>
  </si>
  <si>
    <t>Per Acre</t>
  </si>
  <si>
    <t>Year 1</t>
  </si>
  <si>
    <t>Establishment Years</t>
  </si>
  <si>
    <t>Annual Requirements ($)</t>
  </si>
  <si>
    <t>Irrigation System</t>
  </si>
  <si>
    <t>Total Requirements ($)</t>
  </si>
  <si>
    <t>Receipts ($)</t>
  </si>
  <si>
    <t>Net Requirements ($)</t>
  </si>
  <si>
    <t>Land (660 acres)</t>
  </si>
  <si>
    <t xml:space="preserve">Machinery, Equipment, and Building </t>
  </si>
  <si>
    <t xml:space="preserve"> Year 0</t>
  </si>
  <si>
    <t>The representative farm has 660 acres devoted to hop production, with 600 acres in hops currently being established or currently producing. It takes 1.1 acres of land to establish 1 acre of hops. Thus, on this representative farm approximately 60 acres of land are needed for roads, buildings, picking equipment, etc. in support of hops production.</t>
  </si>
  <si>
    <t xml:space="preserve">The value of bare land is $15,000 per acre with property taxes of $70 per acre. </t>
  </si>
  <si>
    <t>The hop plants have a 5-year life.</t>
  </si>
  <si>
    <t>Management is valued at $250 per acre. This value is representative of what the producer committee felt was a fair return on an operator's management skills.</t>
  </si>
  <si>
    <t>Instructions for Using the Spreadsheets</t>
  </si>
  <si>
    <t>Your Costs</t>
  </si>
  <si>
    <t>Your Costs and Returns</t>
  </si>
  <si>
    <t>Interest</t>
  </si>
  <si>
    <t>Note: Shaded area denotes a positive profit based on the combination of yield and price.</t>
  </si>
  <si>
    <t xml:space="preserve">   Interest rate</t>
  </si>
  <si>
    <t xml:space="preserve">   Amortized amount per year</t>
  </si>
  <si>
    <t>Cooling/Baling Room</t>
  </si>
  <si>
    <t>Kiln</t>
  </si>
  <si>
    <t>Break-even Price ($/lb)</t>
  </si>
  <si>
    <r>
      <t>Mature production</t>
    </r>
    <r>
      <rPr>
        <b/>
        <vertAlign val="superscript"/>
        <sz val="11"/>
        <rFont val="Times New Roman"/>
        <family val="1"/>
      </rPr>
      <t>A</t>
    </r>
    <r>
      <rPr>
        <b/>
        <sz val="11"/>
        <rFont val="Times New Roman"/>
        <family val="1"/>
      </rPr>
      <t xml:space="preserve"> ($/acre)</t>
    </r>
  </si>
  <si>
    <t>A. Represents of the remaining years that the hop plants are in full production (i.e., Year 2 to Year 5).</t>
  </si>
  <si>
    <t xml:space="preserve">A. Net return is what the grower receives after all production expenses have been accounted. </t>
  </si>
  <si>
    <t>C. Price represents gross return.</t>
  </si>
  <si>
    <t xml:space="preserve">A. Dauenhauer double recleaner picking machine. </t>
  </si>
  <si>
    <t>B. Purchase price corresponds to new machine and equipment.</t>
  </si>
  <si>
    <t>Hop Trucks/Trailers (used and fabricated)</t>
  </si>
  <si>
    <t>Miscellaneous/Shop Equipment</t>
  </si>
  <si>
    <t>Tools and Supplies</t>
  </si>
  <si>
    <r>
      <t>Full Production</t>
    </r>
    <r>
      <rPr>
        <b/>
        <vertAlign val="superscript"/>
        <sz val="11"/>
        <rFont val="Times New Roman"/>
        <family val="1"/>
      </rPr>
      <t>A</t>
    </r>
  </si>
  <si>
    <r>
      <t>Operating Expenses</t>
    </r>
    <r>
      <rPr>
        <vertAlign val="superscript"/>
        <sz val="11"/>
        <rFont val="Times New Roman"/>
        <family val="1"/>
      </rPr>
      <t>B</t>
    </r>
  </si>
  <si>
    <r>
      <t>A.</t>
    </r>
    <r>
      <rPr>
        <vertAlign val="superscript"/>
        <sz val="10"/>
        <rFont val="Times New Roman"/>
        <family val="1"/>
      </rPr>
      <t xml:space="preserve"> </t>
    </r>
    <r>
      <rPr>
        <sz val="10"/>
        <rFont val="Times New Roman"/>
        <family val="1"/>
      </rPr>
      <t>Represents all the remaining years the hop plants are in full production (Year 2 to Year 5).</t>
    </r>
  </si>
  <si>
    <t>B. Operating expenses are the sum of the total variable costs, insurance cost, land and property taxes, management cost, administration, utilities and overhead.</t>
  </si>
  <si>
    <r>
      <t xml:space="preserve">   Dollar amount to be amortized</t>
    </r>
    <r>
      <rPr>
        <vertAlign val="superscript"/>
        <sz val="11"/>
        <color theme="1"/>
        <rFont val="Times New Roman"/>
        <family val="1"/>
      </rPr>
      <t>A</t>
    </r>
  </si>
  <si>
    <r>
      <t xml:space="preserve">   Number of years</t>
    </r>
    <r>
      <rPr>
        <vertAlign val="superscript"/>
        <sz val="11"/>
        <color theme="1"/>
        <rFont val="Times New Roman"/>
        <family val="1"/>
      </rPr>
      <t>B</t>
    </r>
  </si>
  <si>
    <t xml:space="preserve">B. Total productive life of the hop plants. </t>
  </si>
  <si>
    <r>
      <t>Purchase Price ($/unit)</t>
    </r>
    <r>
      <rPr>
        <b/>
        <vertAlign val="superscript"/>
        <sz val="11"/>
        <rFont val="Times New Roman"/>
        <family val="1"/>
      </rPr>
      <t>B</t>
    </r>
  </si>
  <si>
    <r>
      <t>Total Salvage Value ($)</t>
    </r>
    <r>
      <rPr>
        <b/>
        <vertAlign val="superscript"/>
        <sz val="11"/>
        <rFont val="Times New Roman"/>
        <family val="1"/>
      </rPr>
      <t>C</t>
    </r>
  </si>
  <si>
    <t xml:space="preserve">     Wire, Cable, and Staples</t>
  </si>
  <si>
    <t xml:space="preserve">     Planting Stock</t>
  </si>
  <si>
    <t>Fertilizer and Leaf Feed</t>
  </si>
  <si>
    <t>Custom Hire</t>
  </si>
  <si>
    <t>Licenses, Fees, and Dues</t>
  </si>
  <si>
    <t>Parts and Repairs</t>
  </si>
  <si>
    <t>Fuel and Oil</t>
  </si>
  <si>
    <t>Drying Fuel</t>
  </si>
  <si>
    <t>Irrigation Water</t>
  </si>
  <si>
    <t>Interest on Operating Capital</t>
  </si>
  <si>
    <t>Depreciation Cost of Fixed Capital</t>
  </si>
  <si>
    <t>Interest Cost of Fixed Capital</t>
  </si>
  <si>
    <t xml:space="preserve">Insurance Cost </t>
  </si>
  <si>
    <t>Land and Property Taxes</t>
  </si>
  <si>
    <t>Land Cost</t>
  </si>
  <si>
    <r>
      <t>Amortized Establishment Cost</t>
    </r>
    <r>
      <rPr>
        <vertAlign val="superscript"/>
        <sz val="11"/>
        <color theme="1"/>
        <rFont val="Times New Roman"/>
        <family val="1"/>
      </rPr>
      <t>B</t>
    </r>
  </si>
  <si>
    <t>$70 per acre × 1.1 acres</t>
  </si>
  <si>
    <r>
      <t>Yield (lb per acre)</t>
    </r>
    <r>
      <rPr>
        <vertAlign val="superscript"/>
        <sz val="11"/>
        <rFont val="Times New Roman"/>
        <family val="1"/>
      </rPr>
      <t>B</t>
    </r>
  </si>
  <si>
    <r>
      <t>Price ($ per lb)</t>
    </r>
    <r>
      <rPr>
        <vertAlign val="superscript"/>
        <sz val="11"/>
        <rFont val="Times New Roman"/>
        <family val="1"/>
      </rPr>
      <t>C</t>
    </r>
  </si>
  <si>
    <t>Storage Shed (40 × 80)</t>
  </si>
  <si>
    <t>Auger W/3 Bits/Skid Steer</t>
  </si>
  <si>
    <t>Sled/Twining Cart</t>
  </si>
  <si>
    <t>Flatbed Truck (large)</t>
  </si>
  <si>
    <t>Flatbed Truck (small)</t>
  </si>
  <si>
    <t>C. Salvage value refers to the estimated value of an asset at the end of its useful life. In general, a salvage value will be a positive value. However, it may be zero if the asset will be used until it is completely worn out and will have no scrap value at the end of its useful life.</t>
  </si>
  <si>
    <t xml:space="preserve"> 5% of land prep cost </t>
  </si>
  <si>
    <r>
      <t xml:space="preserve">Values in </t>
    </r>
    <r>
      <rPr>
        <sz val="11"/>
        <color theme="9" tint="-0.249977111117893"/>
        <rFont val="Times New Roman"/>
        <family val="1"/>
      </rPr>
      <t xml:space="preserve">orange </t>
    </r>
    <r>
      <rPr>
        <sz val="11"/>
        <rFont val="Times New Roman"/>
        <family val="1"/>
      </rPr>
      <t>and associated notes</t>
    </r>
    <r>
      <rPr>
        <sz val="11"/>
        <color indexed="8"/>
        <rFont val="Times New Roman"/>
        <family val="1"/>
      </rPr>
      <t xml:space="preserve"> are provided by growers who participated in the development of this budget. These values can be changed. Any modifications will affect the linked spreadsheets.</t>
    </r>
  </si>
  <si>
    <r>
      <t xml:space="preserve">Values in </t>
    </r>
    <r>
      <rPr>
        <b/>
        <sz val="11"/>
        <rFont val="Times New Roman"/>
        <family val="1"/>
      </rPr>
      <t>black</t>
    </r>
    <r>
      <rPr>
        <sz val="11"/>
        <rFont val="Times New Roman"/>
        <family val="1"/>
      </rPr>
      <t xml:space="preserve"> are calculated using the input data and should not be modified. </t>
    </r>
  </si>
  <si>
    <t>Budget Assumptions</t>
  </si>
  <si>
    <t>The prevailing interest rate is 5% for a short-term loan, and 4.5% for a long-term loan.</t>
  </si>
  <si>
    <t>Total production area</t>
  </si>
  <si>
    <t>Growing area</t>
  </si>
  <si>
    <t>In-row spacing</t>
  </si>
  <si>
    <t>Between-row spacing</t>
  </si>
  <si>
    <t>Life of planting</t>
  </si>
  <si>
    <t xml:space="preserve">5% of above establishment costs </t>
  </si>
  <si>
    <t xml:space="preserve"> Includes assessments, dues, licenses, inspection fees, royalties</t>
  </si>
  <si>
    <t xml:space="preserve"> 5% of above variable costs × 6/12 (6 months)</t>
  </si>
  <si>
    <r>
      <t>Picking Equipment</t>
    </r>
    <r>
      <rPr>
        <vertAlign val="superscript"/>
        <sz val="11"/>
        <rFont val="Times New Roman"/>
        <family val="1"/>
      </rPr>
      <t>A</t>
    </r>
  </si>
  <si>
    <t>Break-even Yield (lb/acre)</t>
  </si>
  <si>
    <t>B. Represents the cost incurred during the establishment years that must be recaptured during the mature production years in order for an enterprise to be profitable. It is calculated as accumulated establishment costs (Establishment and Year 1) amortized at 4.5% for 4 years.</t>
  </si>
  <si>
    <t>B. Represents the average yield over 4 years of mature production.</t>
  </si>
  <si>
    <t>Cost ($/acre)</t>
  </si>
  <si>
    <t>Your Cost ($/acre)</t>
  </si>
  <si>
    <t>D</t>
  </si>
  <si>
    <t>E</t>
  </si>
  <si>
    <t>Total Cash Costs + Depreciation Costs</t>
  </si>
  <si>
    <t>Total Cost</t>
  </si>
  <si>
    <t>G</t>
  </si>
  <si>
    <r>
      <t xml:space="preserve">G. The fourth breakeven return is the </t>
    </r>
    <r>
      <rPr>
        <b/>
        <i/>
        <sz val="10"/>
        <color indexed="8"/>
        <rFont val="Times New Roman"/>
        <family val="1"/>
      </rPr>
      <t>total cost breakeven return</t>
    </r>
    <r>
      <rPr>
        <sz val="10"/>
        <color indexed="8"/>
        <rFont val="Times New Roman"/>
        <family val="1"/>
      </rPr>
      <t xml:space="preserve">. Only when this breakeven return is received can the grower recover all out-of-pocket expenses </t>
    </r>
    <r>
      <rPr>
        <u/>
        <sz val="10"/>
        <color indexed="8"/>
        <rFont val="Times New Roman"/>
        <family val="1"/>
      </rPr>
      <t>plus</t>
    </r>
    <r>
      <rPr>
        <sz val="10"/>
        <color indexed="8"/>
        <rFont val="Times New Roman"/>
        <family val="1"/>
      </rPr>
      <t xml:space="preserve"> opportunity costs. </t>
    </r>
  </si>
  <si>
    <t>= Total Variable Costs + Land &amp; Property Taxes + Insurance Cost + Administration + Utilities + Overhead</t>
  </si>
  <si>
    <r>
      <t>Breakeven Return ($/lb)</t>
    </r>
    <r>
      <rPr>
        <b/>
        <vertAlign val="superscript"/>
        <sz val="11"/>
        <rFont val="Times New Roman"/>
        <family val="1"/>
      </rPr>
      <t>A</t>
    </r>
  </si>
  <si>
    <r>
      <t xml:space="preserve">The information in this publication serves as a general guide for a modern and well-managed hop farm as of 2020. To avoid unwarranted conclusions for any particular operation, closely examine the assumptions used. If they are not appropriate for your situation, adjust the costs and/or returns as appropriate or you can use the </t>
    </r>
    <r>
      <rPr>
        <sz val="11"/>
        <color rgb="FFC00000"/>
        <rFont val="Times New Roman"/>
        <family val="1"/>
      </rPr>
      <t>"</t>
    </r>
    <r>
      <rPr>
        <sz val="11"/>
        <color theme="9" tint="-0.249977111117893"/>
        <rFont val="Times New Roman"/>
        <family val="1"/>
      </rPr>
      <t>Your Costs</t>
    </r>
    <r>
      <rPr>
        <sz val="11"/>
        <color rgb="FFC00000"/>
        <rFont val="Times New Roman"/>
        <family val="1"/>
      </rPr>
      <t>"</t>
    </r>
    <r>
      <rPr>
        <sz val="11"/>
        <rFont val="Times New Roman"/>
        <family val="1"/>
      </rPr>
      <t xml:space="preserve"> column to enter your numbers.</t>
    </r>
  </si>
  <si>
    <t>The hop yard is planted with organic aroma varieties.</t>
  </si>
  <si>
    <t>A drip irrigation system costs $4,150 per acre ($2,650/acre material cost plus $1,500/acre installation cost). In addition to the drip irrigation, an overhead sprinkler system is installed and it costs $1,000 per acre.  The annual water charge is $120 per acre.</t>
  </si>
  <si>
    <t>Irrigation System, Drip</t>
  </si>
  <si>
    <t>Irrigation System, Overhead Sprinklers</t>
  </si>
  <si>
    <t>Notes: The price of organic aroma hops is $11.46/lb.</t>
  </si>
  <si>
    <t>Organic aroma yield (lb/acre) =</t>
  </si>
  <si>
    <r>
      <t xml:space="preserve">A. Breakeven return is calculated as: </t>
    </r>
    <r>
      <rPr>
        <i/>
        <sz val="10"/>
        <color rgb="FF000000"/>
        <rFont val="Times New Roman"/>
        <family val="1"/>
      </rPr>
      <t xml:space="preserve">cost divided by yield during mature production. </t>
    </r>
  </si>
  <si>
    <t/>
  </si>
  <si>
    <t>$15,000 per acre × 4.5%</t>
  </si>
  <si>
    <t>Your Breakeven Return ($/lb)</t>
  </si>
  <si>
    <t>Table 2. Estimated Costs for Preparing and Establishing a Standard Trellis Organic Hop Field under Drip Irrigation</t>
  </si>
  <si>
    <t>Table 3. Estimated Annual Costs and Returns of Producing Organic Hops in Standard Trellis under Drip Irrigation</t>
  </si>
  <si>
    <t>Table 4. Breakeven Return ($/lb) of Organic Aroma Hops for Different Levels of Enterprise Costs during Mature Production</t>
  </si>
  <si>
    <t>Appendix Table 1. Building, Machinery, Equipment, and Irrigation Requirements for a 660-acre Hop Yard</t>
  </si>
  <si>
    <t>Appendix Table 2. Summary of Annual Capital Requirements for a 600-Acre Organic Hop Yard</t>
  </si>
  <si>
    <t>Appendix Table 3. Amortization Calculator</t>
  </si>
  <si>
    <r>
      <t>Table 5. Estimated Net Returns</t>
    </r>
    <r>
      <rPr>
        <b/>
        <vertAlign val="superscript"/>
        <sz val="14"/>
        <color theme="1"/>
        <rFont val="Times New Roman"/>
        <family val="1"/>
      </rPr>
      <t>A</t>
    </r>
    <r>
      <rPr>
        <b/>
        <sz val="14"/>
        <color theme="1"/>
        <rFont val="Times New Roman"/>
        <family val="1"/>
      </rPr>
      <t xml:space="preserve"> Per Acre of an Organic Hop Enterprise at Various Prices and Yields of Organic Aroma Hops during Mature Production </t>
    </r>
  </si>
  <si>
    <t>The organic aroma hops are projected to have an average mature-year production of 1,440 lbs per acre. First year production is projected to be 80% of mature-year production.</t>
  </si>
  <si>
    <t>A. Accumulated establishment costs (i.e., Add the costs in "Establishment tab" and Year 1 in "Hop Production tab" minus revenues during Year 1).</t>
  </si>
  <si>
    <t>TOTAL RETURNS ($/acre)</t>
  </si>
  <si>
    <t>Variable Costs ($/acre):</t>
  </si>
  <si>
    <t>Fixed Costs ($/acre):</t>
  </si>
  <si>
    <t>TOTAL COSTS ($/acre)</t>
  </si>
  <si>
    <t>NET RETURNS ($/acre)</t>
  </si>
  <si>
    <t>B</t>
  </si>
  <si>
    <t xml:space="preserve">B. If the return is below this level, hops are uneconomical to produce. </t>
  </si>
  <si>
    <r>
      <t>Total Cash Costs</t>
    </r>
    <r>
      <rPr>
        <b/>
        <vertAlign val="superscript"/>
        <sz val="11"/>
        <rFont val="Times New Roman"/>
        <family val="1"/>
      </rPr>
      <t>C</t>
    </r>
  </si>
  <si>
    <t>C. If there are other cash costs on an individual's farm, these costs must be identified and included in the cash cost breakeven return calculation.</t>
  </si>
  <si>
    <t>D. The second breakeven return allows the producer to stay in business in the short run.</t>
  </si>
  <si>
    <t>E. The third breakeven return allows the producer to stay in business in the long run.</t>
  </si>
  <si>
    <r>
      <t>= Total Cash Costs + Depreciation Costs + Interest Costs</t>
    </r>
    <r>
      <rPr>
        <b/>
        <vertAlign val="superscript"/>
        <sz val="11"/>
        <rFont val="Times New Roman"/>
        <family val="1"/>
      </rPr>
      <t>F</t>
    </r>
    <r>
      <rPr>
        <sz val="11"/>
        <rFont val="Times New Roman"/>
        <family val="1"/>
      </rPr>
      <t xml:space="preserve"> + Management Cost </t>
    </r>
  </si>
  <si>
    <t>F. Interest costs include some actual cash interest payments.</t>
  </si>
  <si>
    <t>2020 Cost Estimates of Establishing and Producing Organic Hops in the Pacific Northwest</t>
  </si>
  <si>
    <t>By Suzette P. Galinato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</si>
</sst>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0.0%"/>
  </numFmts>
  <fonts count="37" x14ac:knownFonts="1">
    <font>
      <sz val="11"/>
      <color theme="1"/>
      <name val="Calibri"/>
      <family val="2"/>
      <scheme val="minor"/>
    </font>
    <font>
      <sz val="11"/>
      <color theme="1"/>
      <name val="Calibri"/>
      <family val="2"/>
      <scheme val="minor"/>
    </font>
    <font>
      <sz val="11"/>
      <name val="Times New Roman"/>
      <family val="1"/>
    </font>
    <font>
      <sz val="11"/>
      <color indexed="8"/>
      <name val="Times New Roman"/>
      <family val="1"/>
    </font>
    <font>
      <b/>
      <sz val="11"/>
      <name val="Times New Roman"/>
      <family val="1"/>
    </font>
    <font>
      <sz val="11"/>
      <color rgb="FFC00000"/>
      <name val="Times New Roman"/>
      <family val="1"/>
    </font>
    <font>
      <b/>
      <sz val="14"/>
      <name val="Times New Roman"/>
      <family val="1"/>
    </font>
    <font>
      <sz val="11"/>
      <color theme="1"/>
      <name val="Times New Roman"/>
      <family val="1"/>
    </font>
    <font>
      <b/>
      <i/>
      <sz val="11"/>
      <name val="Times New Roman"/>
      <family val="1"/>
    </font>
    <font>
      <sz val="14"/>
      <color theme="1"/>
      <name val="Times New Roman"/>
      <family val="1"/>
    </font>
    <font>
      <b/>
      <vertAlign val="superscript"/>
      <sz val="11"/>
      <name val="Times New Roman"/>
      <family val="1"/>
    </font>
    <font>
      <b/>
      <sz val="11"/>
      <color theme="1"/>
      <name val="Times New Roman"/>
      <family val="1"/>
    </font>
    <font>
      <b/>
      <i/>
      <sz val="11"/>
      <color theme="1"/>
      <name val="Times New Roman"/>
      <family val="1"/>
    </font>
    <font>
      <sz val="11"/>
      <color rgb="FFFF0000"/>
      <name val="Times New Roman"/>
      <family val="1"/>
    </font>
    <font>
      <vertAlign val="superscript"/>
      <sz val="11"/>
      <color theme="1"/>
      <name val="Times New Roman"/>
      <family val="1"/>
    </font>
    <font>
      <b/>
      <sz val="11"/>
      <color rgb="FFFF0000"/>
      <name val="Times New Roman"/>
      <family val="1"/>
    </font>
    <font>
      <sz val="10"/>
      <color theme="1"/>
      <name val="Times New Roman"/>
      <family val="1"/>
    </font>
    <font>
      <vertAlign val="superscript"/>
      <sz val="11"/>
      <name val="Times New Roman"/>
      <family val="1"/>
    </font>
    <font>
      <b/>
      <sz val="14"/>
      <color theme="1"/>
      <name val="Times New Roman"/>
      <family val="1"/>
    </font>
    <font>
      <b/>
      <vertAlign val="superscript"/>
      <sz val="14"/>
      <color theme="1"/>
      <name val="Times New Roman"/>
      <family val="1"/>
    </font>
    <font>
      <i/>
      <sz val="10"/>
      <color theme="1"/>
      <name val="Times New Roman"/>
      <family val="1"/>
    </font>
    <font>
      <sz val="10"/>
      <name val="Times New Roman"/>
      <family val="1"/>
    </font>
    <font>
      <sz val="11"/>
      <color theme="9" tint="-0.249977111117893"/>
      <name val="Times New Roman"/>
      <family val="1"/>
    </font>
    <font>
      <b/>
      <sz val="14"/>
      <color indexed="8"/>
      <name val="Times New Roman"/>
      <family val="1"/>
    </font>
    <font>
      <vertAlign val="superscript"/>
      <sz val="10"/>
      <name val="Times New Roman"/>
      <family val="1"/>
    </font>
    <font>
      <sz val="10"/>
      <color indexed="8"/>
      <name val="Times New Roman"/>
      <family val="1"/>
    </font>
    <font>
      <sz val="11"/>
      <color indexed="8"/>
      <name val="Calibri"/>
      <family val="2"/>
    </font>
    <font>
      <b/>
      <sz val="16"/>
      <name val="Times New Roman"/>
      <family val="1"/>
    </font>
    <font>
      <b/>
      <sz val="11"/>
      <color theme="9" tint="-0.249977111117893"/>
      <name val="Times New Roman"/>
      <family val="1"/>
    </font>
    <font>
      <i/>
      <sz val="10"/>
      <color theme="9" tint="-0.249977111117893"/>
      <name val="Times New Roman"/>
      <family val="1"/>
    </font>
    <font>
      <b/>
      <sz val="11"/>
      <color indexed="8"/>
      <name val="Times New Roman"/>
      <family val="1"/>
    </font>
    <font>
      <sz val="11"/>
      <color indexed="53"/>
      <name val="Times New Roman"/>
      <family val="1"/>
    </font>
    <font>
      <b/>
      <vertAlign val="superscript"/>
      <sz val="11"/>
      <color indexed="8"/>
      <name val="Times New Roman"/>
      <family val="1"/>
    </font>
    <font>
      <b/>
      <vertAlign val="superscript"/>
      <sz val="11"/>
      <color theme="9" tint="-0.249977111117893"/>
      <name val="Times New Roman"/>
      <family val="1"/>
    </font>
    <font>
      <b/>
      <i/>
      <sz val="10"/>
      <color indexed="8"/>
      <name val="Times New Roman"/>
      <family val="1"/>
    </font>
    <font>
      <u/>
      <sz val="10"/>
      <color indexed="8"/>
      <name val="Times New Roman"/>
      <family val="1"/>
    </font>
    <font>
      <i/>
      <sz val="10"/>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14996795556505021"/>
      </bottom>
      <diagonal/>
    </border>
    <border>
      <left/>
      <right/>
      <top style="thin">
        <color theme="0" tint="-0.14996795556505021"/>
      </top>
      <bottom style="thin">
        <color indexed="64"/>
      </bottom>
      <diagonal/>
    </border>
    <border>
      <left/>
      <right/>
      <top/>
      <bottom style="thin">
        <color indexed="64"/>
      </bottom>
      <diagonal/>
    </border>
    <border>
      <left/>
      <right/>
      <top/>
      <bottom style="thin">
        <color theme="0" tint="-0.24994659260841701"/>
      </bottom>
      <diagonal/>
    </border>
  </borders>
  <cellStyleXfs count="4">
    <xf numFmtId="0" fontId="0" fillId="0" borderId="0"/>
    <xf numFmtId="9" fontId="1"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cellStyleXfs>
  <cellXfs count="263">
    <xf numFmtId="0" fontId="0" fillId="0" borderId="0" xfId="0"/>
    <xf numFmtId="0" fontId="2" fillId="2" borderId="0" xfId="0" applyFont="1" applyFill="1"/>
    <xf numFmtId="0" fontId="3" fillId="3" borderId="0" xfId="0" applyFont="1" applyFill="1"/>
    <xf numFmtId="0" fontId="4" fillId="3" borderId="0" xfId="0" applyFont="1" applyFill="1"/>
    <xf numFmtId="0" fontId="2" fillId="3" borderId="0" xfId="0" applyFont="1" applyFill="1"/>
    <xf numFmtId="0" fontId="4" fillId="2" borderId="0" xfId="0" applyFont="1" applyFill="1" applyAlignment="1">
      <alignment vertical="top"/>
    </xf>
    <xf numFmtId="0" fontId="4" fillId="2" borderId="0" xfId="0" applyFont="1" applyFill="1"/>
    <xf numFmtId="0" fontId="2" fillId="2" borderId="0" xfId="0" applyFont="1" applyFill="1" applyAlignment="1">
      <alignment vertical="top"/>
    </xf>
    <xf numFmtId="0" fontId="2" fillId="2" borderId="0" xfId="0" quotePrefix="1" applyFont="1" applyFill="1" applyAlignment="1">
      <alignment horizontal="right" vertical="top"/>
    </xf>
    <xf numFmtId="0" fontId="2" fillId="2" borderId="0" xfId="0" applyFont="1" applyFill="1" applyBorder="1"/>
    <xf numFmtId="0" fontId="2" fillId="2" borderId="1" xfId="0" applyFont="1" applyFill="1" applyBorder="1"/>
    <xf numFmtId="0" fontId="7" fillId="2" borderId="0" xfId="0" applyFont="1" applyFill="1" applyBorder="1"/>
    <xf numFmtId="0" fontId="7" fillId="2" borderId="0" xfId="0" applyFont="1" applyFill="1"/>
    <xf numFmtId="0" fontId="2" fillId="2" borderId="3" xfId="0" applyFont="1" applyFill="1" applyBorder="1" applyAlignment="1" applyProtection="1"/>
    <xf numFmtId="0" fontId="4" fillId="2" borderId="3" xfId="0" applyFont="1" applyFill="1" applyBorder="1" applyAlignment="1" applyProtection="1">
      <alignment horizontal="center" wrapText="1"/>
    </xf>
    <xf numFmtId="0" fontId="4" fillId="2" borderId="3" xfId="0" applyFont="1" applyFill="1" applyBorder="1" applyAlignment="1" applyProtection="1">
      <alignment horizontal="left"/>
    </xf>
    <xf numFmtId="0" fontId="5" fillId="2" borderId="3" xfId="0" applyFont="1" applyFill="1" applyBorder="1" applyAlignment="1">
      <alignment horizontal="center"/>
    </xf>
    <xf numFmtId="0" fontId="4" fillId="2" borderId="0" xfId="0" applyFont="1" applyFill="1" applyBorder="1" applyAlignment="1"/>
    <xf numFmtId="0" fontId="4" fillId="2" borderId="0" xfId="0" applyFont="1" applyFill="1" applyBorder="1" applyAlignment="1" applyProtection="1">
      <alignment horizontal="center"/>
    </xf>
    <xf numFmtId="0" fontId="2" fillId="2" borderId="0" xfId="0" applyFont="1" applyFill="1" applyBorder="1" applyAlignment="1" applyProtection="1">
      <protection locked="0"/>
    </xf>
    <xf numFmtId="0" fontId="7" fillId="2" borderId="4" xfId="0" applyFont="1" applyFill="1" applyBorder="1"/>
    <xf numFmtId="0" fontId="2" fillId="2" borderId="0" xfId="0" applyFont="1" applyFill="1" applyBorder="1" applyAlignment="1">
      <alignment horizontal="left"/>
    </xf>
    <xf numFmtId="0" fontId="8" fillId="2" borderId="0" xfId="0" applyFont="1" applyFill="1" applyBorder="1" applyAlignment="1"/>
    <xf numFmtId="164" fontId="8" fillId="2" borderId="0" xfId="0" applyNumberFormat="1" applyFont="1" applyFill="1" applyBorder="1"/>
    <xf numFmtId="2" fontId="2" fillId="2" borderId="0" xfId="0" applyNumberFormat="1" applyFont="1" applyFill="1" applyBorder="1" applyProtection="1"/>
    <xf numFmtId="164" fontId="2" fillId="2" borderId="0" xfId="0" applyNumberFormat="1" applyFont="1" applyFill="1" applyBorder="1" applyProtection="1"/>
    <xf numFmtId="2" fontId="2" fillId="2" borderId="0" xfId="0" applyNumberFormat="1" applyFont="1" applyFill="1" applyBorder="1" applyProtection="1">
      <protection locked="0"/>
    </xf>
    <xf numFmtId="0" fontId="8" fillId="2" borderId="0" xfId="0" applyFont="1" applyFill="1" applyBorder="1"/>
    <xf numFmtId="0" fontId="2" fillId="2" borderId="0" xfId="0" applyFont="1" applyFill="1" applyBorder="1" applyProtection="1"/>
    <xf numFmtId="0" fontId="4" fillId="2" borderId="0" xfId="0" applyFont="1" applyFill="1" applyBorder="1"/>
    <xf numFmtId="164" fontId="4" fillId="2" borderId="0" xfId="0" applyNumberFormat="1" applyFont="1" applyFill="1" applyBorder="1" applyProtection="1"/>
    <xf numFmtId="0" fontId="2" fillId="2" borderId="0" xfId="0" applyFont="1" applyFill="1" applyBorder="1" applyProtection="1">
      <protection locked="0"/>
    </xf>
    <xf numFmtId="2" fontId="2" fillId="2" borderId="1" xfId="0" applyNumberFormat="1" applyFont="1" applyFill="1" applyBorder="1"/>
    <xf numFmtId="0" fontId="7" fillId="2" borderId="5" xfId="0" applyFont="1" applyFill="1" applyBorder="1"/>
    <xf numFmtId="2" fontId="7" fillId="2" borderId="0" xfId="0" applyNumberFormat="1" applyFont="1" applyFill="1"/>
    <xf numFmtId="0" fontId="7" fillId="2" borderId="0" xfId="0" applyFont="1" applyFill="1" applyAlignment="1">
      <alignment horizontal="right"/>
    </xf>
    <xf numFmtId="0" fontId="7" fillId="2" borderId="3" xfId="0" applyFont="1" applyFill="1" applyBorder="1" applyProtection="1"/>
    <xf numFmtId="0" fontId="4" fillId="2" borderId="3" xfId="0" applyFont="1" applyFill="1" applyBorder="1" applyAlignment="1" applyProtection="1">
      <alignment horizontal="right" wrapText="1"/>
    </xf>
    <xf numFmtId="0" fontId="11" fillId="2" borderId="0" xfId="0" applyFont="1" applyFill="1" applyBorder="1" applyAlignment="1"/>
    <xf numFmtId="2" fontId="4" fillId="2" borderId="0" xfId="0" applyNumberFormat="1" applyFont="1" applyFill="1" applyBorder="1" applyAlignment="1" applyProtection="1">
      <alignment horizontal="right"/>
    </xf>
    <xf numFmtId="1" fontId="7" fillId="2" borderId="0" xfId="0" applyNumberFormat="1" applyFont="1" applyFill="1" applyBorder="1" applyAlignment="1" applyProtection="1"/>
    <xf numFmtId="0" fontId="7" fillId="2" borderId="0" xfId="0" applyFont="1" applyFill="1" applyBorder="1" applyAlignment="1"/>
    <xf numFmtId="164" fontId="5" fillId="2" borderId="0" xfId="0" applyNumberFormat="1" applyFont="1" applyFill="1" applyBorder="1" applyAlignment="1" applyProtection="1">
      <alignment horizontal="right"/>
      <protection locked="0"/>
    </xf>
    <xf numFmtId="2" fontId="7" fillId="2" borderId="0" xfId="0" applyNumberFormat="1" applyFont="1" applyFill="1" applyBorder="1" applyAlignment="1" applyProtection="1">
      <protection locked="0"/>
    </xf>
    <xf numFmtId="0" fontId="2" fillId="2" borderId="0" xfId="0" applyFont="1" applyFill="1" applyBorder="1" applyAlignment="1"/>
    <xf numFmtId="2" fontId="7" fillId="2" borderId="0" xfId="0" applyNumberFormat="1" applyFont="1" applyFill="1" applyBorder="1" applyAlignment="1" applyProtection="1">
      <alignment horizontal="left"/>
      <protection locked="0"/>
    </xf>
    <xf numFmtId="164" fontId="12" fillId="2" borderId="0" xfId="0" applyNumberFormat="1" applyFont="1" applyFill="1" applyBorder="1" applyAlignment="1">
      <alignment horizontal="right"/>
    </xf>
    <xf numFmtId="0" fontId="7" fillId="2" borderId="0" xfId="0" applyFont="1" applyFill="1" applyBorder="1" applyProtection="1"/>
    <xf numFmtId="164" fontId="7" fillId="2" borderId="0" xfId="0" applyNumberFormat="1" applyFont="1" applyFill="1" applyBorder="1" applyProtection="1"/>
    <xf numFmtId="164" fontId="7" fillId="2" borderId="0" xfId="0" applyNumberFormat="1" applyFont="1" applyFill="1" applyBorder="1" applyAlignment="1" applyProtection="1">
      <alignment horizontal="right"/>
    </xf>
    <xf numFmtId="2" fontId="7" fillId="2" borderId="0" xfId="0" applyNumberFormat="1" applyFont="1" applyFill="1" applyBorder="1" applyAlignment="1" applyProtection="1"/>
    <xf numFmtId="164" fontId="11" fillId="2" borderId="0" xfId="0" applyNumberFormat="1" applyFont="1" applyFill="1" applyBorder="1" applyAlignment="1"/>
    <xf numFmtId="2" fontId="2" fillId="2" borderId="0" xfId="0" applyNumberFormat="1" applyFont="1" applyFill="1" applyBorder="1" applyAlignment="1" applyProtection="1">
      <protection locked="0"/>
    </xf>
    <xf numFmtId="0" fontId="13" fillId="2" borderId="0" xfId="0" applyFont="1" applyFill="1"/>
    <xf numFmtId="0" fontId="7" fillId="2" borderId="0" xfId="0" applyFont="1" applyFill="1" applyBorder="1" applyAlignment="1" applyProtection="1">
      <protection locked="0"/>
    </xf>
    <xf numFmtId="164" fontId="12" fillId="2" borderId="0" xfId="0" applyNumberFormat="1" applyFont="1" applyFill="1" applyBorder="1" applyAlignment="1" applyProtection="1">
      <alignment horizontal="right"/>
    </xf>
    <xf numFmtId="164" fontId="7" fillId="2" borderId="0" xfId="0" applyNumberFormat="1" applyFont="1" applyFill="1" applyBorder="1" applyAlignment="1"/>
    <xf numFmtId="164" fontId="11" fillId="2" borderId="0" xfId="0" applyNumberFormat="1" applyFont="1" applyFill="1" applyBorder="1" applyAlignment="1" applyProtection="1">
      <alignment horizontal="right"/>
    </xf>
    <xf numFmtId="4" fontId="7" fillId="2" borderId="0" xfId="0" applyNumberFormat="1" applyFont="1" applyFill="1" applyBorder="1" applyAlignment="1" applyProtection="1">
      <alignment horizontal="right"/>
    </xf>
    <xf numFmtId="4" fontId="15" fillId="2" borderId="0" xfId="0" applyNumberFormat="1" applyFont="1" applyFill="1" applyBorder="1" applyAlignment="1" applyProtection="1">
      <alignment horizontal="right"/>
    </xf>
    <xf numFmtId="3" fontId="7" fillId="2" borderId="0" xfId="0" applyNumberFormat="1" applyFont="1" applyFill="1" applyBorder="1" applyAlignment="1" applyProtection="1">
      <alignment horizontal="left"/>
      <protection locked="0"/>
    </xf>
    <xf numFmtId="164" fontId="11" fillId="2" borderId="0" xfId="0" applyNumberFormat="1" applyFont="1" applyFill="1" applyBorder="1" applyAlignment="1" applyProtection="1"/>
    <xf numFmtId="0" fontId="7" fillId="2" borderId="1" xfId="0" applyFont="1" applyFill="1" applyBorder="1"/>
    <xf numFmtId="0" fontId="7" fillId="2" borderId="1" xfId="0" applyFont="1" applyFill="1" applyBorder="1" applyAlignment="1">
      <alignment horizontal="right"/>
    </xf>
    <xf numFmtId="0" fontId="16" fillId="2" borderId="0" xfId="0" applyFont="1" applyFill="1"/>
    <xf numFmtId="164" fontId="7" fillId="2" borderId="0" xfId="0" applyNumberFormat="1" applyFont="1" applyFill="1" applyAlignment="1">
      <alignment horizontal="right"/>
    </xf>
    <xf numFmtId="165" fontId="2" fillId="2" borderId="0" xfId="0" applyNumberFormat="1" applyFont="1" applyFill="1" applyBorder="1"/>
    <xf numFmtId="165" fontId="2" fillId="4" borderId="0" xfId="0" applyNumberFormat="1" applyFont="1" applyFill="1" applyBorder="1"/>
    <xf numFmtId="0" fontId="20" fillId="2" borderId="3" xfId="0" applyFont="1" applyFill="1" applyBorder="1"/>
    <xf numFmtId="0" fontId="21" fillId="2" borderId="0" xfId="0" applyFont="1" applyFill="1" applyBorder="1" applyAlignment="1" applyProtection="1">
      <alignment horizontal="left"/>
      <protection locked="0"/>
    </xf>
    <xf numFmtId="9" fontId="22" fillId="2" borderId="0" xfId="0" applyNumberFormat="1" applyFont="1" applyFill="1" applyBorder="1" applyAlignment="1">
      <alignment horizontal="left"/>
    </xf>
    <xf numFmtId="0" fontId="21" fillId="2" borderId="0" xfId="0" applyFont="1" applyFill="1"/>
    <xf numFmtId="164" fontId="7" fillId="2" borderId="0" xfId="0" applyNumberFormat="1" applyFont="1" applyFill="1"/>
    <xf numFmtId="166" fontId="7" fillId="2" borderId="0" xfId="0" applyNumberFormat="1" applyFont="1" applyFill="1"/>
    <xf numFmtId="0" fontId="7" fillId="2" borderId="0" xfId="0" applyFont="1" applyFill="1" applyAlignment="1">
      <alignment horizontal="center"/>
    </xf>
    <xf numFmtId="165" fontId="2" fillId="2" borderId="0" xfId="0" applyNumberFormat="1" applyFont="1" applyFill="1" applyBorder="1" applyAlignment="1">
      <alignment horizontal="center" wrapText="1"/>
    </xf>
    <xf numFmtId="9" fontId="7" fillId="2" borderId="0" xfId="1" applyFont="1" applyFill="1"/>
    <xf numFmtId="3" fontId="4" fillId="2" borderId="0" xfId="0" applyNumberFormat="1" applyFont="1" applyFill="1" applyBorder="1" applyAlignment="1">
      <alignment horizontal="center" wrapText="1"/>
    </xf>
    <xf numFmtId="165" fontId="4" fillId="2" borderId="0" xfId="0" applyNumberFormat="1" applyFont="1" applyFill="1" applyBorder="1" applyAlignment="1">
      <alignment horizontal="center" wrapText="1"/>
    </xf>
    <xf numFmtId="165" fontId="4" fillId="2" borderId="1" xfId="0" applyNumberFormat="1" applyFont="1" applyFill="1" applyBorder="1" applyAlignment="1">
      <alignment horizontal="center" wrapText="1"/>
    </xf>
    <xf numFmtId="0" fontId="2" fillId="3" borderId="0" xfId="0" applyFont="1" applyFill="1" applyAlignment="1">
      <alignment horizontal="center"/>
    </xf>
    <xf numFmtId="0" fontId="2" fillId="3" borderId="2" xfId="0" applyFont="1" applyFill="1" applyBorder="1"/>
    <xf numFmtId="0" fontId="2" fillId="3" borderId="1" xfId="0" applyFont="1" applyFill="1" applyBorder="1"/>
    <xf numFmtId="0" fontId="4" fillId="3" borderId="1" xfId="0" applyFont="1" applyFill="1" applyBorder="1" applyAlignment="1">
      <alignment horizontal="center"/>
    </xf>
    <xf numFmtId="0" fontId="2" fillId="3" borderId="0" xfId="0" quotePrefix="1" applyFont="1" applyFill="1"/>
    <xf numFmtId="0" fontId="4" fillId="3" borderId="0" xfId="0" applyFont="1" applyFill="1" applyBorder="1"/>
    <xf numFmtId="0" fontId="2" fillId="3" borderId="0" xfId="0" applyFont="1" applyFill="1" applyBorder="1" applyAlignment="1">
      <alignment horizontal="center"/>
    </xf>
    <xf numFmtId="0" fontId="2" fillId="3" borderId="0" xfId="0" applyFont="1" applyFill="1" applyAlignment="1">
      <alignment horizontal="left" indent="1"/>
    </xf>
    <xf numFmtId="43" fontId="2" fillId="3" borderId="0" xfId="0" applyNumberFormat="1" applyFont="1" applyFill="1"/>
    <xf numFmtId="0" fontId="4" fillId="3" borderId="0" xfId="0" applyFont="1" applyFill="1" applyAlignment="1">
      <alignment horizontal="left"/>
    </xf>
    <xf numFmtId="39" fontId="2" fillId="3" borderId="0" xfId="0" applyNumberFormat="1" applyFont="1" applyFill="1"/>
    <xf numFmtId="0" fontId="4" fillId="3" borderId="1" xfId="0" applyFont="1" applyFill="1" applyBorder="1"/>
    <xf numFmtId="39" fontId="2" fillId="3" borderId="1" xfId="0" applyNumberFormat="1" applyFont="1" applyFill="1" applyBorder="1"/>
    <xf numFmtId="0" fontId="21" fillId="3" borderId="0" xfId="0" applyFont="1" applyFill="1"/>
    <xf numFmtId="0" fontId="21" fillId="3" borderId="0" xfId="0" applyFont="1" applyFill="1" applyBorder="1"/>
    <xf numFmtId="0" fontId="6" fillId="3" borderId="0" xfId="0" applyFont="1" applyFill="1" applyBorder="1" applyAlignment="1">
      <alignment wrapText="1"/>
    </xf>
    <xf numFmtId="4" fontId="2" fillId="3" borderId="0" xfId="0" applyNumberFormat="1" applyFont="1" applyFill="1"/>
    <xf numFmtId="4" fontId="2" fillId="3" borderId="0" xfId="0" applyNumberFormat="1" applyFont="1" applyFill="1" applyAlignment="1">
      <alignment horizontal="right" vertical="center" indent="2"/>
    </xf>
    <xf numFmtId="2" fontId="2" fillId="3" borderId="0" xfId="0" applyNumberFormat="1" applyFont="1" applyFill="1"/>
    <xf numFmtId="0" fontId="5" fillId="3" borderId="0" xfId="0" applyFont="1" applyFill="1" applyAlignment="1">
      <alignment vertical="top" wrapText="1"/>
    </xf>
    <xf numFmtId="43" fontId="5" fillId="3" borderId="0" xfId="0" applyNumberFormat="1" applyFont="1" applyFill="1" applyAlignment="1">
      <alignment vertical="top"/>
    </xf>
    <xf numFmtId="0" fontId="2" fillId="3" borderId="0" xfId="0" applyFont="1" applyFill="1" applyAlignment="1">
      <alignment vertical="top"/>
    </xf>
    <xf numFmtId="0" fontId="2" fillId="3" borderId="0" xfId="0" applyFont="1" applyFill="1" applyBorder="1"/>
    <xf numFmtId="4" fontId="2" fillId="3" borderId="0" xfId="0" applyNumberFormat="1" applyFont="1" applyFill="1" applyBorder="1" applyAlignment="1">
      <alignment horizontal="right" vertical="center" indent="2"/>
    </xf>
    <xf numFmtId="0" fontId="2" fillId="2" borderId="0" xfId="0" applyFont="1" applyFill="1" applyProtection="1">
      <protection locked="0"/>
    </xf>
    <xf numFmtId="0" fontId="7" fillId="2" borderId="0" xfId="0" applyFont="1" applyFill="1" applyProtection="1">
      <protection locked="0"/>
    </xf>
    <xf numFmtId="0" fontId="6"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7" fillId="2" borderId="0" xfId="0" applyFont="1" applyFill="1" applyBorder="1" applyProtection="1">
      <protection locked="0"/>
    </xf>
    <xf numFmtId="164" fontId="7" fillId="2" borderId="0" xfId="0" applyNumberFormat="1" applyFont="1" applyFill="1" applyBorder="1" applyProtection="1">
      <protection locked="0"/>
    </xf>
    <xf numFmtId="0" fontId="7" fillId="2" borderId="1" xfId="0" applyFont="1" applyFill="1" applyBorder="1" applyProtection="1">
      <protection locked="0"/>
    </xf>
    <xf numFmtId="164" fontId="7" fillId="2" borderId="1" xfId="0" applyNumberFormat="1" applyFont="1" applyFill="1" applyBorder="1" applyProtection="1"/>
    <xf numFmtId="0" fontId="25" fillId="3" borderId="0" xfId="0" applyFont="1" applyFill="1"/>
    <xf numFmtId="0" fontId="7" fillId="2" borderId="0" xfId="0" applyFont="1" applyFill="1" applyBorder="1" applyAlignment="1">
      <alignment horizontal="right"/>
    </xf>
    <xf numFmtId="0" fontId="7" fillId="2" borderId="0" xfId="1" applyNumberFormat="1" applyFont="1" applyFill="1"/>
    <xf numFmtId="0" fontId="7" fillId="2" borderId="0" xfId="0" applyNumberFormat="1" applyFont="1" applyFill="1"/>
    <xf numFmtId="10" fontId="7" fillId="2" borderId="0" xfId="1" applyNumberFormat="1" applyFont="1" applyFill="1"/>
    <xf numFmtId="0" fontId="7" fillId="2" borderId="0" xfId="0" applyFont="1" applyFill="1" applyBorder="1" applyAlignment="1"/>
    <xf numFmtId="0" fontId="16" fillId="2" borderId="0" xfId="0" applyFont="1" applyFill="1" applyBorder="1" applyAlignment="1">
      <alignment horizontal="left" vertical="top" wrapText="1"/>
    </xf>
    <xf numFmtId="0" fontId="21" fillId="2" borderId="0" xfId="0" applyFont="1" applyFill="1" applyAlignment="1">
      <alignment horizontal="center"/>
    </xf>
    <xf numFmtId="0" fontId="11" fillId="2" borderId="0" xfId="0" applyFont="1" applyFill="1" applyBorder="1"/>
    <xf numFmtId="0" fontId="7" fillId="2" borderId="1" xfId="0" applyFont="1" applyFill="1" applyBorder="1" applyAlignment="1"/>
    <xf numFmtId="164" fontId="7" fillId="2" borderId="1" xfId="0" applyNumberFormat="1" applyFont="1" applyFill="1" applyBorder="1" applyAlignment="1">
      <alignment horizontal="right"/>
    </xf>
    <xf numFmtId="0" fontId="16" fillId="2" borderId="0" xfId="0" applyFont="1" applyFill="1" applyBorder="1"/>
    <xf numFmtId="0" fontId="7" fillId="2" borderId="0" xfId="0" applyFont="1" applyFill="1" applyBorder="1" applyAlignment="1" applyProtection="1">
      <protection locked="0"/>
    </xf>
    <xf numFmtId="0" fontId="16" fillId="2" borderId="2" xfId="0" applyFont="1" applyFill="1" applyBorder="1" applyProtection="1">
      <protection locked="0"/>
    </xf>
    <xf numFmtId="164" fontId="7" fillId="2" borderId="2" xfId="0" applyNumberFormat="1" applyFont="1" applyFill="1" applyBorder="1" applyProtection="1"/>
    <xf numFmtId="0" fontId="7" fillId="2" borderId="0" xfId="0" applyFont="1" applyFill="1" applyAlignment="1" applyProtection="1">
      <alignment vertical="top"/>
      <protection locked="0"/>
    </xf>
    <xf numFmtId="3" fontId="2" fillId="2" borderId="0" xfId="0" applyNumberFormat="1" applyFont="1" applyFill="1" applyBorder="1" applyAlignment="1">
      <alignment horizontal="center" wrapText="1"/>
    </xf>
    <xf numFmtId="0" fontId="2" fillId="2" borderId="0" xfId="0" applyFont="1" applyFill="1" applyBorder="1" applyAlignment="1">
      <alignment horizontal="center"/>
    </xf>
    <xf numFmtId="0" fontId="4" fillId="2" borderId="0" xfId="0" applyFont="1" applyFill="1" applyBorder="1" applyAlignment="1">
      <alignment horizontal="center"/>
    </xf>
    <xf numFmtId="3" fontId="4" fillId="2" borderId="0" xfId="0" applyNumberFormat="1" applyFont="1" applyFill="1" applyBorder="1" applyAlignment="1">
      <alignment horizontal="right" wrapText="1"/>
    </xf>
    <xf numFmtId="165" fontId="4" fillId="2" borderId="0" xfId="0" applyNumberFormat="1" applyFont="1" applyFill="1" applyBorder="1" applyAlignment="1">
      <alignment horizontal="right" wrapText="1"/>
    </xf>
    <xf numFmtId="0" fontId="4" fillId="2" borderId="1" xfId="0" applyFont="1" applyFill="1" applyBorder="1" applyAlignment="1"/>
    <xf numFmtId="0" fontId="4" fillId="2" borderId="1" xfId="0" applyFont="1" applyFill="1" applyBorder="1" applyAlignment="1">
      <alignment horizontal="center"/>
    </xf>
    <xf numFmtId="3" fontId="4" fillId="2" borderId="1" xfId="0" applyNumberFormat="1" applyFont="1" applyFill="1" applyBorder="1" applyAlignment="1">
      <alignment horizontal="center" wrapText="1"/>
    </xf>
    <xf numFmtId="3" fontId="4" fillId="2"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3" fontId="2" fillId="2" borderId="0" xfId="0" applyNumberFormat="1" applyFont="1" applyFill="1" applyBorder="1" applyAlignment="1">
      <alignment horizontal="right" wrapText="1"/>
    </xf>
    <xf numFmtId="0" fontId="2" fillId="2" borderId="1" xfId="0" applyFont="1" applyFill="1" applyBorder="1" applyAlignment="1"/>
    <xf numFmtId="3" fontId="2" fillId="2" borderId="1" xfId="0" applyNumberFormat="1" applyFont="1" applyFill="1" applyBorder="1" applyAlignment="1">
      <alignment horizontal="center" wrapText="1"/>
    </xf>
    <xf numFmtId="3" fontId="2" fillId="2" borderId="1" xfId="0" applyNumberFormat="1" applyFont="1" applyFill="1" applyBorder="1" applyAlignment="1">
      <alignment horizontal="right" wrapText="1"/>
    </xf>
    <xf numFmtId="0" fontId="21" fillId="2" borderId="0" xfId="0" applyFont="1" applyFill="1" applyBorder="1" applyAlignment="1"/>
    <xf numFmtId="0" fontId="4" fillId="2" borderId="0" xfId="0" applyFont="1" applyFill="1" applyBorder="1" applyAlignment="1"/>
    <xf numFmtId="0" fontId="2" fillId="2" borderId="0" xfId="0" applyFont="1" applyFill="1" applyAlignment="1">
      <alignment vertical="top" wrapText="1"/>
    </xf>
    <xf numFmtId="0" fontId="22" fillId="2" borderId="0" xfId="0" applyFont="1" applyFill="1"/>
    <xf numFmtId="0" fontId="22" fillId="2" borderId="1" xfId="0" applyFont="1" applyFill="1" applyBorder="1"/>
    <xf numFmtId="164" fontId="22" fillId="2" borderId="0" xfId="0" applyNumberFormat="1" applyFont="1" applyFill="1" applyProtection="1">
      <protection locked="0"/>
    </xf>
    <xf numFmtId="0" fontId="2" fillId="3" borderId="0" xfId="0" quotePrefix="1" applyFont="1" applyFill="1" applyAlignment="1">
      <alignment horizontal="right" indent="1"/>
    </xf>
    <xf numFmtId="0" fontId="2" fillId="3" borderId="0" xfId="0" quotePrefix="1" applyFont="1" applyFill="1" applyAlignment="1">
      <alignment horizontal="right" vertical="top" indent="1"/>
    </xf>
    <xf numFmtId="0" fontId="3" fillId="3" borderId="0" xfId="0" quotePrefix="1" applyFont="1" applyFill="1" applyAlignment="1">
      <alignment horizontal="right" vertical="top" indent="1"/>
    </xf>
    <xf numFmtId="164" fontId="22" fillId="2" borderId="0" xfId="0" applyNumberFormat="1" applyFont="1" applyFill="1" applyProtection="1"/>
    <xf numFmtId="164" fontId="22" fillId="2" borderId="0" xfId="0" applyNumberFormat="1" applyFont="1" applyFill="1" applyAlignment="1" applyProtection="1">
      <alignment horizontal="right"/>
      <protection locked="0"/>
    </xf>
    <xf numFmtId="2" fontId="2" fillId="2" borderId="0" xfId="0" applyNumberFormat="1" applyFont="1" applyFill="1" applyProtection="1">
      <protection locked="0"/>
    </xf>
    <xf numFmtId="2" fontId="2" fillId="2" borderId="0" xfId="0" applyNumberFormat="1" applyFont="1" applyFill="1" applyAlignment="1" applyProtection="1">
      <alignment horizontal="left"/>
      <protection locked="0"/>
    </xf>
    <xf numFmtId="0" fontId="22" fillId="2" borderId="0" xfId="0" applyFont="1" applyFill="1" applyAlignment="1">
      <alignment horizontal="center" vertical="top" wrapText="1"/>
    </xf>
    <xf numFmtId="165" fontId="22" fillId="2" borderId="0" xfId="0" applyNumberFormat="1" applyFont="1" applyFill="1" applyAlignment="1">
      <alignment horizontal="center" wrapText="1"/>
    </xf>
    <xf numFmtId="165" fontId="2" fillId="2" borderId="0" xfId="0" applyNumberFormat="1" applyFont="1" applyFill="1" applyAlignment="1">
      <alignment horizontal="center" wrapText="1"/>
    </xf>
    <xf numFmtId="0" fontId="2" fillId="2" borderId="0" xfId="0" applyFont="1" applyFill="1" applyAlignment="1">
      <alignment horizontal="left" wrapText="1"/>
    </xf>
    <xf numFmtId="0" fontId="22" fillId="2" borderId="0" xfId="0" applyFont="1" applyFill="1" applyAlignment="1">
      <alignment horizontal="center" wrapText="1"/>
    </xf>
    <xf numFmtId="3" fontId="22" fillId="2" borderId="0" xfId="0" applyNumberFormat="1" applyFont="1" applyFill="1" applyAlignment="1">
      <alignment horizontal="center" wrapText="1"/>
    </xf>
    <xf numFmtId="167" fontId="22" fillId="2" borderId="0" xfId="0" applyNumberFormat="1" applyFont="1" applyFill="1" applyAlignment="1">
      <alignment horizontal="center"/>
    </xf>
    <xf numFmtId="0" fontId="22" fillId="2" borderId="1" xfId="0" applyFont="1" applyFill="1" applyBorder="1" applyAlignment="1">
      <alignment horizontal="center"/>
    </xf>
    <xf numFmtId="1" fontId="22" fillId="2" borderId="0" xfId="0" applyNumberFormat="1" applyFont="1" applyFill="1" applyBorder="1" applyProtection="1">
      <protection locked="0"/>
    </xf>
    <xf numFmtId="10" fontId="22" fillId="2" borderId="0" xfId="0" applyNumberFormat="1" applyFont="1" applyFill="1" applyBorder="1" applyProtection="1">
      <protection locked="0"/>
    </xf>
    <xf numFmtId="0" fontId="11" fillId="2" borderId="0" xfId="0" applyFont="1" applyFill="1"/>
    <xf numFmtId="0" fontId="4" fillId="2" borderId="0" xfId="0" applyFont="1" applyFill="1" applyAlignment="1">
      <alignment horizontal="right"/>
    </xf>
    <xf numFmtId="3" fontId="2" fillId="2" borderId="0" xfId="0" applyNumberFormat="1" applyFont="1" applyFill="1" applyAlignment="1">
      <alignment horizontal="right"/>
    </xf>
    <xf numFmtId="3" fontId="4" fillId="2" borderId="0" xfId="0" applyNumberFormat="1" applyFont="1" applyFill="1" applyAlignment="1">
      <alignment horizontal="right"/>
    </xf>
    <xf numFmtId="164" fontId="2" fillId="2" borderId="1" xfId="0" applyNumberFormat="1" applyFont="1" applyFill="1" applyBorder="1" applyAlignment="1">
      <alignment horizontal="right"/>
    </xf>
    <xf numFmtId="164" fontId="4" fillId="2" borderId="0" xfId="0" applyNumberFormat="1"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horizontal="right"/>
    </xf>
    <xf numFmtId="0" fontId="16" fillId="2" borderId="0" xfId="0" applyFont="1" applyFill="1" applyBorder="1" applyAlignment="1" applyProtection="1">
      <alignment vertical="top"/>
      <protection locked="0"/>
    </xf>
    <xf numFmtId="3" fontId="22" fillId="2" borderId="0" xfId="0" applyNumberFormat="1" applyFont="1" applyFill="1" applyBorder="1" applyAlignment="1">
      <alignment horizontal="center"/>
    </xf>
    <xf numFmtId="167" fontId="29" fillId="2" borderId="3" xfId="1" applyNumberFormat="1" applyFont="1" applyFill="1" applyBorder="1" applyAlignment="1">
      <alignment horizontal="left"/>
    </xf>
    <xf numFmtId="164" fontId="22" fillId="2" borderId="0" xfId="0" applyNumberFormat="1" applyFont="1" applyFill="1" applyBorder="1" applyAlignment="1" applyProtection="1">
      <alignment horizontal="right"/>
      <protection locked="0"/>
    </xf>
    <xf numFmtId="3" fontId="22" fillId="2" borderId="0" xfId="0" applyNumberFormat="1" applyFont="1" applyFill="1" applyBorder="1" applyAlignment="1"/>
    <xf numFmtId="3" fontId="22" fillId="2" borderId="0" xfId="0" applyNumberFormat="1" applyFont="1" applyFill="1" applyBorder="1" applyAlignment="1" applyProtection="1">
      <alignment horizontal="right"/>
    </xf>
    <xf numFmtId="0" fontId="28" fillId="2" borderId="0" xfId="0" applyFont="1" applyFill="1" applyBorder="1" applyAlignment="1" applyProtection="1"/>
    <xf numFmtId="4" fontId="28" fillId="2" borderId="0" xfId="0" applyNumberFormat="1" applyFont="1" applyFill="1" applyBorder="1" applyAlignment="1" applyProtection="1">
      <alignment horizontal="right"/>
    </xf>
    <xf numFmtId="164" fontId="22" fillId="2" borderId="0" xfId="0" applyNumberFormat="1" applyFont="1" applyFill="1" applyBorder="1" applyAlignment="1" applyProtection="1">
      <alignment horizontal="right"/>
    </xf>
    <xf numFmtId="0" fontId="22" fillId="2" borderId="3" xfId="0" applyFont="1" applyFill="1" applyBorder="1" applyAlignment="1">
      <alignment horizontal="center" wrapText="1"/>
    </xf>
    <xf numFmtId="0" fontId="22" fillId="2" borderId="4" xfId="0" applyFont="1" applyFill="1" applyBorder="1"/>
    <xf numFmtId="0" fontId="22" fillId="2" borderId="5" xfId="0" applyFont="1" applyFill="1" applyBorder="1"/>
    <xf numFmtId="0" fontId="22" fillId="2" borderId="0" xfId="0" applyFont="1" applyFill="1" applyBorder="1"/>
    <xf numFmtId="0" fontId="22" fillId="3" borderId="0" xfId="0" applyFont="1" applyFill="1" applyAlignment="1">
      <alignment horizontal="center" wrapText="1"/>
    </xf>
    <xf numFmtId="0" fontId="32" fillId="3" borderId="0" xfId="0" applyFont="1" applyFill="1" applyAlignment="1">
      <alignment horizontal="left"/>
    </xf>
    <xf numFmtId="0" fontId="22" fillId="3" borderId="0" xfId="0" applyFont="1" applyFill="1"/>
    <xf numFmtId="0" fontId="4" fillId="3" borderId="0" xfId="0" applyFont="1" applyFill="1" applyAlignment="1">
      <alignment horizontal="right" wrapText="1"/>
    </xf>
    <xf numFmtId="0" fontId="4" fillId="3" borderId="0" xfId="0" applyFont="1" applyFill="1" applyAlignment="1">
      <alignment horizontal="right"/>
    </xf>
    <xf numFmtId="0" fontId="3" fillId="3" borderId="0" xfId="0" applyFont="1" applyFill="1" applyAlignment="1">
      <alignment vertical="top"/>
    </xf>
    <xf numFmtId="0" fontId="28" fillId="2" borderId="6" xfId="0" applyFont="1" applyFill="1" applyBorder="1" applyAlignment="1">
      <alignment horizontal="right" vertical="top" wrapText="1"/>
    </xf>
    <xf numFmtId="0" fontId="28" fillId="3" borderId="6" xfId="0" applyFont="1" applyFill="1" applyBorder="1" applyAlignment="1">
      <alignment vertical="top"/>
    </xf>
    <xf numFmtId="0" fontId="28" fillId="2" borderId="6" xfId="0" applyFont="1" applyFill="1" applyBorder="1" applyAlignment="1">
      <alignment horizontal="center" vertical="top" wrapText="1"/>
    </xf>
    <xf numFmtId="0" fontId="3" fillId="3" borderId="3" xfId="0" applyFont="1" applyFill="1" applyBorder="1" applyAlignment="1">
      <alignment vertical="top"/>
    </xf>
    <xf numFmtId="0" fontId="4" fillId="3" borderId="6" xfId="0" applyFont="1" applyFill="1" applyBorder="1" applyAlignment="1">
      <alignment horizontal="right" vertical="top" wrapText="1"/>
    </xf>
    <xf numFmtId="0" fontId="2" fillId="2" borderId="6" xfId="0" applyFont="1" applyFill="1" applyBorder="1" applyAlignment="1">
      <alignment vertical="top"/>
    </xf>
    <xf numFmtId="0" fontId="2" fillId="3" borderId="3" xfId="0" applyFont="1" applyFill="1" applyBorder="1" applyAlignment="1">
      <alignment vertical="top"/>
    </xf>
    <xf numFmtId="0" fontId="2" fillId="3" borderId="0" xfId="0" applyFont="1" applyFill="1"/>
    <xf numFmtId="0" fontId="21" fillId="2" borderId="0" xfId="0" applyFont="1" applyFill="1"/>
    <xf numFmtId="0" fontId="33" fillId="3" borderId="7" xfId="0" applyFont="1" applyFill="1" applyBorder="1" applyAlignment="1" applyProtection="1">
      <alignment horizontal="left"/>
      <protection locked="0"/>
    </xf>
    <xf numFmtId="0" fontId="33" fillId="3" borderId="0" xfId="0" applyFont="1" applyFill="1" applyAlignment="1">
      <alignment horizontal="left"/>
    </xf>
    <xf numFmtId="0" fontId="30" fillId="3" borderId="0" xfId="0" applyFont="1" applyFill="1"/>
    <xf numFmtId="0" fontId="28" fillId="3" borderId="0" xfId="0" applyFont="1" applyFill="1"/>
    <xf numFmtId="0" fontId="2" fillId="3" borderId="0" xfId="0" quotePrefix="1" applyFont="1" applyFill="1" applyAlignment="1">
      <alignment vertical="top" wrapText="1"/>
    </xf>
    <xf numFmtId="4" fontId="2" fillId="3" borderId="0" xfId="0" applyNumberFormat="1" applyFont="1" applyFill="1" applyAlignment="1">
      <alignment wrapText="1"/>
    </xf>
    <xf numFmtId="0" fontId="3" fillId="3" borderId="0" xfId="0" applyFont="1" applyFill="1" applyAlignment="1">
      <alignment vertical="top" wrapText="1" shrinkToFit="1"/>
    </xf>
    <xf numFmtId="0" fontId="2" fillId="3" borderId="0" xfId="0" quotePrefix="1" applyFont="1" applyFill="1" applyAlignment="1">
      <alignment wrapText="1"/>
    </xf>
    <xf numFmtId="0" fontId="2" fillId="3" borderId="0" xfId="0" applyFont="1" applyFill="1" applyAlignment="1">
      <alignment vertical="top" wrapText="1"/>
    </xf>
    <xf numFmtId="0" fontId="2" fillId="3" borderId="0" xfId="0" applyFont="1" applyFill="1" applyAlignment="1">
      <alignment wrapText="1"/>
    </xf>
    <xf numFmtId="4" fontId="3" fillId="2" borderId="0" xfId="0" applyNumberFormat="1" applyFont="1" applyFill="1"/>
    <xf numFmtId="0" fontId="33" fillId="3" borderId="0" xfId="0" applyFont="1" applyFill="1" applyAlignment="1">
      <alignment horizontal="left" vertical="top"/>
    </xf>
    <xf numFmtId="0" fontId="2" fillId="2" borderId="6" xfId="0" applyFont="1" applyFill="1" applyBorder="1"/>
    <xf numFmtId="0" fontId="2" fillId="3" borderId="6" xfId="0" quotePrefix="1" applyFont="1" applyFill="1" applyBorder="1" applyAlignment="1">
      <alignment wrapText="1"/>
    </xf>
    <xf numFmtId="164" fontId="2" fillId="3" borderId="6" xfId="0" applyNumberFormat="1" applyFont="1" applyFill="1" applyBorder="1"/>
    <xf numFmtId="164" fontId="31" fillId="3" borderId="6" xfId="0" applyNumberFormat="1" applyFont="1" applyFill="1" applyBorder="1"/>
    <xf numFmtId="0" fontId="32" fillId="3" borderId="6" xfId="0" applyFont="1" applyFill="1" applyBorder="1" applyAlignment="1">
      <alignment horizontal="left"/>
    </xf>
    <xf numFmtId="0" fontId="3" fillId="3" borderId="6" xfId="0" applyFont="1" applyFill="1" applyBorder="1"/>
    <xf numFmtId="0" fontId="25" fillId="3" borderId="0" xfId="0" applyFont="1" applyFill="1" applyAlignment="1">
      <alignment horizontal="left" indent="2"/>
    </xf>
    <xf numFmtId="3" fontId="7" fillId="2" borderId="0" xfId="0" applyNumberFormat="1" applyFont="1" applyFill="1"/>
    <xf numFmtId="0" fontId="7" fillId="2" borderId="3" xfId="0" quotePrefix="1" applyFont="1" applyFill="1" applyBorder="1" applyProtection="1"/>
    <xf numFmtId="0" fontId="11" fillId="2" borderId="0" xfId="0" applyFont="1" applyFill="1" applyBorder="1" applyAlignment="1" applyProtection="1"/>
    <xf numFmtId="7" fontId="2" fillId="2" borderId="1" xfId="0" applyNumberFormat="1" applyFont="1" applyFill="1" applyBorder="1" applyAlignment="1"/>
    <xf numFmtId="0" fontId="4" fillId="2" borderId="3" xfId="0" applyFont="1" applyFill="1" applyBorder="1" applyAlignment="1" applyProtection="1">
      <alignment horizontal="right" vertical="top" wrapText="1"/>
    </xf>
    <xf numFmtId="3" fontId="21" fillId="3" borderId="0" xfId="0" applyNumberFormat="1" applyFont="1" applyFill="1" applyAlignment="1">
      <alignment horizontal="left"/>
    </xf>
    <xf numFmtId="0" fontId="2" fillId="2" borderId="0" xfId="0" applyFont="1" applyFill="1" applyAlignment="1">
      <alignment vertical="top" wrapText="1"/>
    </xf>
    <xf numFmtId="0" fontId="6" fillId="3" borderId="1" xfId="0" applyFont="1" applyFill="1" applyBorder="1" applyAlignment="1">
      <alignment horizontal="left"/>
    </xf>
    <xf numFmtId="0" fontId="6" fillId="3" borderId="0" xfId="0" applyFont="1" applyFill="1" applyAlignment="1">
      <alignment horizontal="left"/>
    </xf>
    <xf numFmtId="0" fontId="27" fillId="2" borderId="0" xfId="0" applyFont="1" applyFill="1" applyAlignment="1">
      <alignment horizontal="left" wrapText="1"/>
    </xf>
    <xf numFmtId="0" fontId="2" fillId="2" borderId="0" xfId="0" applyFont="1" applyFill="1" applyAlignment="1">
      <alignment horizontal="left" vertical="top" wrapText="1"/>
    </xf>
    <xf numFmtId="0" fontId="3" fillId="3" borderId="0" xfId="0" applyFont="1" applyFill="1" applyAlignment="1">
      <alignment horizontal="left" vertical="top" wrapText="1"/>
    </xf>
    <xf numFmtId="0" fontId="2" fillId="3" borderId="0" xfId="0" applyFont="1" applyFill="1" applyAlignment="1">
      <alignment horizontal="left" vertical="top" wrapText="1"/>
    </xf>
    <xf numFmtId="0" fontId="2" fillId="2" borderId="0" xfId="0" quotePrefix="1" applyFont="1" applyFill="1" applyAlignment="1">
      <alignment horizontal="right" vertical="top" wrapText="1"/>
    </xf>
    <xf numFmtId="0" fontId="6" fillId="2" borderId="0" xfId="0" applyFont="1" applyFill="1" applyBorder="1" applyAlignment="1" applyProtection="1">
      <alignment horizontal="left" vertical="top" wrapText="1"/>
      <protection locked="0"/>
    </xf>
    <xf numFmtId="0" fontId="16" fillId="2" borderId="0" xfId="0" applyFont="1" applyFill="1" applyAlignment="1">
      <alignment horizontal="left" wrapText="1"/>
    </xf>
    <xf numFmtId="0" fontId="11" fillId="2" borderId="0" xfId="0" applyFont="1" applyFill="1" applyBorder="1" applyAlignment="1"/>
    <xf numFmtId="0" fontId="12" fillId="2" borderId="0" xfId="0" applyFont="1" applyFill="1" applyBorder="1" applyAlignment="1"/>
    <xf numFmtId="0" fontId="4" fillId="2" borderId="0" xfId="0" applyFont="1" applyFill="1" applyBorder="1" applyAlignment="1"/>
    <xf numFmtId="0" fontId="6" fillId="2" borderId="0"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7" fillId="2" borderId="0" xfId="0" applyFont="1" applyFill="1" applyBorder="1" applyAlignment="1" applyProtection="1"/>
    <xf numFmtId="0" fontId="7" fillId="2" borderId="0" xfId="0" applyFont="1" applyFill="1" applyBorder="1" applyAlignment="1"/>
    <xf numFmtId="0" fontId="11" fillId="2" borderId="0" xfId="0" applyFont="1" applyFill="1" applyBorder="1" applyAlignment="1" applyProtection="1"/>
    <xf numFmtId="0" fontId="25" fillId="3" borderId="0" xfId="0" applyFont="1" applyFill="1" applyAlignment="1">
      <alignment horizontal="left" vertical="top" wrapText="1"/>
    </xf>
    <xf numFmtId="0" fontId="23" fillId="3" borderId="6" xfId="0" applyFont="1" applyFill="1" applyBorder="1" applyAlignment="1">
      <alignment horizontal="left" wrapText="1"/>
    </xf>
    <xf numFmtId="0" fontId="18" fillId="2" borderId="1" xfId="0" applyFont="1" applyFill="1" applyBorder="1" applyAlignment="1">
      <alignment horizontal="left" wrapText="1"/>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xf>
    <xf numFmtId="0" fontId="21" fillId="2" borderId="0" xfId="0" applyFont="1" applyFill="1" applyAlignment="1">
      <alignment horizontal="left" vertical="top" wrapText="1"/>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16" fillId="2" borderId="0" xfId="0" applyFont="1" applyFill="1" applyBorder="1" applyAlignment="1">
      <alignment horizontal="left" vertical="top" wrapText="1"/>
    </xf>
    <xf numFmtId="0" fontId="23" fillId="2" borderId="0" xfId="0" applyFont="1" applyFill="1" applyBorder="1" applyAlignment="1">
      <alignment horizontal="left" wrapText="1"/>
    </xf>
    <xf numFmtId="0" fontId="4" fillId="2" borderId="2" xfId="0" applyFont="1" applyFill="1" applyBorder="1" applyAlignment="1">
      <alignment vertical="top" wrapText="1"/>
    </xf>
    <xf numFmtId="0" fontId="4" fillId="2" borderId="1" xfId="0" applyFont="1" applyFill="1" applyBorder="1" applyAlignment="1">
      <alignment vertical="top" wrapText="1"/>
    </xf>
    <xf numFmtId="0" fontId="6" fillId="3" borderId="1" xfId="0" applyFont="1" applyFill="1" applyBorder="1" applyAlignment="1">
      <alignment horizontal="left" wrapText="1"/>
    </xf>
    <xf numFmtId="0" fontId="4" fillId="2" borderId="3" xfId="0" applyFont="1" applyFill="1" applyBorder="1" applyAlignment="1">
      <alignment horizont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pplyProtection="1">
      <alignment horizontal="left"/>
      <protection locked="0"/>
    </xf>
    <xf numFmtId="0" fontId="7" fillId="2" borderId="0" xfId="0" applyFont="1" applyFill="1" applyBorder="1" applyAlignment="1" applyProtection="1">
      <protection locked="0"/>
    </xf>
  </cellXfs>
  <cellStyles count="4">
    <cellStyle name="Currency 2" xfId="2" xr:uid="{00000000-0005-0000-0000-000000000000}"/>
    <cellStyle name="Normal" xfId="0" builtinId="0"/>
    <cellStyle name="Percent" xfId="1" builtinId="5"/>
    <cellStyle name="Percent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3"/>
  <sheetViews>
    <sheetView tabSelected="1" workbookViewId="0">
      <selection activeCell="B2" sqref="B2:L2"/>
    </sheetView>
  </sheetViews>
  <sheetFormatPr defaultColWidth="9.109375" defaultRowHeight="13.8" x14ac:dyDescent="0.25"/>
  <cols>
    <col min="1" max="1" width="5.6640625" style="1" customWidth="1"/>
    <col min="2" max="2" width="5.88671875" style="7" customWidth="1"/>
    <col min="3" max="3" width="21" style="1" customWidth="1"/>
    <col min="4" max="10" width="9.88671875" style="1" customWidth="1"/>
    <col min="11" max="11" width="11.88671875" style="1" bestFit="1" customWidth="1"/>
    <col min="12" max="16384" width="9.109375" style="1"/>
  </cols>
  <sheetData>
    <row r="2" spans="2:12" ht="51.6" customHeight="1" x14ac:dyDescent="0.35">
      <c r="B2" s="229" t="s">
        <v>227</v>
      </c>
      <c r="C2" s="229"/>
      <c r="D2" s="229"/>
      <c r="E2" s="229"/>
      <c r="F2" s="229"/>
      <c r="G2" s="229"/>
      <c r="H2" s="229"/>
      <c r="I2" s="229"/>
      <c r="J2" s="229"/>
      <c r="K2" s="229"/>
      <c r="L2" s="229"/>
    </row>
    <row r="3" spans="2:12" x14ac:dyDescent="0.25">
      <c r="B3" s="7" t="s">
        <v>228</v>
      </c>
    </row>
    <row r="5" spans="2:12" s="2" customFormat="1" x14ac:dyDescent="0.25">
      <c r="B5" s="3" t="s">
        <v>114</v>
      </c>
      <c r="C5" s="4"/>
      <c r="D5" s="4"/>
      <c r="E5" s="4"/>
      <c r="F5" s="4"/>
      <c r="G5" s="4"/>
      <c r="H5" s="4"/>
      <c r="I5" s="4"/>
      <c r="J5" s="4"/>
    </row>
    <row r="6" spans="2:12" s="2" customFormat="1" ht="14.25" customHeight="1" x14ac:dyDescent="0.25">
      <c r="B6" s="148" t="s">
        <v>45</v>
      </c>
      <c r="C6" s="231" t="s">
        <v>168</v>
      </c>
      <c r="D6" s="231"/>
      <c r="E6" s="231"/>
      <c r="F6" s="231"/>
      <c r="G6" s="231"/>
      <c r="H6" s="231"/>
      <c r="I6" s="231"/>
      <c r="J6" s="231"/>
      <c r="K6" s="231"/>
    </row>
    <row r="7" spans="2:12" s="2" customFormat="1" ht="15.75" customHeight="1" x14ac:dyDescent="0.25">
      <c r="B7" s="4"/>
      <c r="C7" s="231"/>
      <c r="D7" s="231"/>
      <c r="E7" s="231"/>
      <c r="F7" s="231"/>
      <c r="G7" s="231"/>
      <c r="H7" s="231"/>
      <c r="I7" s="231"/>
      <c r="J7" s="231"/>
      <c r="K7" s="231"/>
    </row>
    <row r="8" spans="2:12" s="2" customFormat="1" ht="19.2" customHeight="1" x14ac:dyDescent="0.25">
      <c r="B8" s="149" t="s">
        <v>46</v>
      </c>
      <c r="C8" s="232" t="s">
        <v>169</v>
      </c>
      <c r="D8" s="232"/>
      <c r="E8" s="232"/>
      <c r="F8" s="232"/>
      <c r="G8" s="232"/>
      <c r="H8" s="232"/>
      <c r="I8" s="232"/>
      <c r="J8" s="232"/>
      <c r="K8" s="232"/>
    </row>
    <row r="9" spans="2:12" s="2" customFormat="1" ht="18" customHeight="1" x14ac:dyDescent="0.25">
      <c r="B9" s="150" t="s">
        <v>47</v>
      </c>
      <c r="C9" s="232" t="s">
        <v>194</v>
      </c>
      <c r="D9" s="232"/>
      <c r="E9" s="232"/>
      <c r="F9" s="232"/>
      <c r="G9" s="232"/>
      <c r="H9" s="232"/>
      <c r="I9" s="232"/>
      <c r="J9" s="232"/>
      <c r="K9" s="232"/>
    </row>
    <row r="10" spans="2:12" s="2" customFormat="1" ht="18" customHeight="1" x14ac:dyDescent="0.25">
      <c r="C10" s="232"/>
      <c r="D10" s="232"/>
      <c r="E10" s="232"/>
      <c r="F10" s="232"/>
      <c r="G10" s="232"/>
      <c r="H10" s="232"/>
      <c r="I10" s="232"/>
      <c r="J10" s="232"/>
      <c r="K10" s="232"/>
    </row>
    <row r="11" spans="2:12" s="2" customFormat="1" ht="18" customHeight="1" x14ac:dyDescent="0.25">
      <c r="C11" s="232"/>
      <c r="D11" s="232"/>
      <c r="E11" s="232"/>
      <c r="F11" s="232"/>
      <c r="G11" s="232"/>
      <c r="H11" s="232"/>
      <c r="I11" s="232"/>
      <c r="J11" s="232"/>
      <c r="K11" s="232"/>
    </row>
    <row r="12" spans="2:12" x14ac:dyDescent="0.25">
      <c r="B12" s="5" t="s">
        <v>170</v>
      </c>
    </row>
    <row r="13" spans="2:12" ht="18" customHeight="1" x14ac:dyDescent="0.25">
      <c r="B13" s="233" t="s">
        <v>45</v>
      </c>
      <c r="C13" s="230" t="s">
        <v>110</v>
      </c>
      <c r="D13" s="230"/>
      <c r="E13" s="230"/>
      <c r="F13" s="230"/>
      <c r="G13" s="230"/>
      <c r="H13" s="230"/>
      <c r="I13" s="230"/>
      <c r="J13" s="230"/>
      <c r="K13" s="230"/>
      <c r="L13" s="6"/>
    </row>
    <row r="14" spans="2:12" ht="23.4" customHeight="1" x14ac:dyDescent="0.25">
      <c r="B14" s="233"/>
      <c r="C14" s="230"/>
      <c r="D14" s="230"/>
      <c r="E14" s="230"/>
      <c r="F14" s="230"/>
      <c r="G14" s="230"/>
      <c r="H14" s="230"/>
      <c r="I14" s="230"/>
      <c r="J14" s="230"/>
      <c r="K14" s="230"/>
    </row>
    <row r="15" spans="2:12" ht="15.6" customHeight="1" x14ac:dyDescent="0.25">
      <c r="B15" s="8" t="s">
        <v>46</v>
      </c>
      <c r="C15" s="230" t="s">
        <v>195</v>
      </c>
      <c r="D15" s="230"/>
      <c r="E15" s="230"/>
      <c r="F15" s="230"/>
      <c r="G15" s="230"/>
      <c r="H15" s="230"/>
      <c r="I15" s="230"/>
      <c r="J15" s="230"/>
      <c r="K15" s="230"/>
    </row>
    <row r="16" spans="2:12" s="7" customFormat="1" ht="15" customHeight="1" x14ac:dyDescent="0.3">
      <c r="B16" s="8" t="s">
        <v>47</v>
      </c>
      <c r="C16" s="226" t="s">
        <v>111</v>
      </c>
      <c r="D16" s="226"/>
      <c r="E16" s="226"/>
      <c r="F16" s="226"/>
      <c r="G16" s="226"/>
      <c r="H16" s="226"/>
      <c r="I16" s="226"/>
      <c r="J16" s="226"/>
      <c r="K16" s="226"/>
    </row>
    <row r="17" spans="2:11" ht="46.2" customHeight="1" x14ac:dyDescent="0.25">
      <c r="B17" s="8" t="s">
        <v>48</v>
      </c>
      <c r="C17" s="230" t="s">
        <v>196</v>
      </c>
      <c r="D17" s="230"/>
      <c r="E17" s="230"/>
      <c r="F17" s="230"/>
      <c r="G17" s="230"/>
      <c r="H17" s="230"/>
      <c r="I17" s="230"/>
      <c r="J17" s="230"/>
      <c r="K17" s="230"/>
    </row>
    <row r="18" spans="2:11" ht="15" customHeight="1" x14ac:dyDescent="0.25">
      <c r="B18" s="8" t="s">
        <v>49</v>
      </c>
      <c r="C18" s="7" t="s">
        <v>112</v>
      </c>
      <c r="D18" s="7"/>
      <c r="E18" s="144"/>
      <c r="F18" s="144"/>
      <c r="G18" s="144"/>
      <c r="H18" s="144"/>
      <c r="I18" s="144"/>
      <c r="J18" s="144"/>
      <c r="K18" s="144"/>
    </row>
    <row r="19" spans="2:11" ht="29.4" customHeight="1" x14ac:dyDescent="0.25">
      <c r="B19" s="8" t="s">
        <v>50</v>
      </c>
      <c r="C19" s="230" t="s">
        <v>113</v>
      </c>
      <c r="D19" s="230"/>
      <c r="E19" s="230"/>
      <c r="F19" s="230"/>
      <c r="G19" s="230"/>
      <c r="H19" s="230"/>
      <c r="I19" s="230"/>
      <c r="J19" s="230"/>
      <c r="K19" s="230"/>
    </row>
    <row r="20" spans="2:11" ht="15" customHeight="1" x14ac:dyDescent="0.25">
      <c r="B20" s="8" t="s">
        <v>51</v>
      </c>
      <c r="C20" s="230" t="s">
        <v>171</v>
      </c>
      <c r="D20" s="230"/>
      <c r="E20" s="230"/>
      <c r="F20" s="230"/>
      <c r="G20" s="230"/>
      <c r="H20" s="230"/>
      <c r="I20" s="230"/>
      <c r="J20" s="230"/>
      <c r="K20" s="230"/>
    </row>
    <row r="21" spans="2:11" ht="32.4" customHeight="1" x14ac:dyDescent="0.25">
      <c r="B21" s="8" t="s">
        <v>52</v>
      </c>
      <c r="C21" s="230" t="s">
        <v>212</v>
      </c>
      <c r="D21" s="230"/>
      <c r="E21" s="230"/>
      <c r="F21" s="230"/>
      <c r="G21" s="230"/>
      <c r="H21" s="230"/>
      <c r="I21" s="230"/>
      <c r="J21" s="230"/>
      <c r="K21" s="230"/>
    </row>
    <row r="22" spans="2:11" ht="15" customHeight="1" x14ac:dyDescent="0.25">
      <c r="B22" s="8" t="s">
        <v>60</v>
      </c>
      <c r="C22" s="226" t="s">
        <v>53</v>
      </c>
      <c r="D22" s="226"/>
      <c r="E22" s="226"/>
      <c r="F22" s="226"/>
      <c r="G22" s="226"/>
      <c r="H22" s="226"/>
      <c r="I22" s="226"/>
      <c r="J22" s="226"/>
      <c r="K22" s="226"/>
    </row>
    <row r="23" spans="2:11" x14ac:dyDescent="0.25">
      <c r="B23" s="1"/>
      <c r="C23" s="226"/>
      <c r="D23" s="226"/>
      <c r="E23" s="226"/>
      <c r="F23" s="226"/>
      <c r="G23" s="226"/>
      <c r="H23" s="226"/>
      <c r="I23" s="226"/>
      <c r="J23" s="226"/>
      <c r="K23" s="226"/>
    </row>
    <row r="24" spans="2:11" ht="17.399999999999999" x14ac:dyDescent="0.3">
      <c r="C24" s="227" t="s">
        <v>54</v>
      </c>
      <c r="D24" s="227"/>
      <c r="E24" s="227"/>
      <c r="F24" s="228"/>
      <c r="G24" s="228"/>
      <c r="H24" s="228"/>
      <c r="I24" s="228"/>
      <c r="J24" s="228"/>
    </row>
    <row r="25" spans="2:11" x14ac:dyDescent="0.25">
      <c r="C25" s="1" t="s">
        <v>172</v>
      </c>
      <c r="D25" s="145" t="s">
        <v>55</v>
      </c>
      <c r="E25" s="89"/>
      <c r="F25" s="89"/>
      <c r="G25" s="89"/>
      <c r="H25" s="89"/>
      <c r="I25" s="89"/>
      <c r="J25" s="89"/>
    </row>
    <row r="26" spans="2:11" x14ac:dyDescent="0.25">
      <c r="C26" s="1" t="s">
        <v>173</v>
      </c>
      <c r="D26" s="145" t="s">
        <v>56</v>
      </c>
      <c r="E26" s="89"/>
      <c r="F26" s="89"/>
      <c r="G26" s="89"/>
      <c r="H26" s="89"/>
      <c r="I26" s="89"/>
      <c r="J26" s="89"/>
    </row>
    <row r="27" spans="2:11" x14ac:dyDescent="0.25">
      <c r="C27" s="1" t="s">
        <v>174</v>
      </c>
      <c r="D27" s="145" t="s">
        <v>57</v>
      </c>
    </row>
    <row r="28" spans="2:11" x14ac:dyDescent="0.25">
      <c r="C28" s="1" t="s">
        <v>175</v>
      </c>
      <c r="D28" s="145" t="s">
        <v>58</v>
      </c>
    </row>
    <row r="29" spans="2:11" x14ac:dyDescent="0.25">
      <c r="C29" s="10" t="s">
        <v>176</v>
      </c>
      <c r="D29" s="146" t="s">
        <v>59</v>
      </c>
      <c r="E29" s="10"/>
    </row>
    <row r="31" spans="2:11" x14ac:dyDescent="0.25">
      <c r="B31" s="8"/>
      <c r="C31" s="226"/>
      <c r="D31" s="226"/>
      <c r="E31" s="226"/>
      <c r="F31" s="226"/>
      <c r="G31" s="226"/>
      <c r="H31" s="226"/>
      <c r="I31" s="226"/>
      <c r="J31" s="226"/>
      <c r="K31" s="226"/>
    </row>
    <row r="32" spans="2:11" x14ac:dyDescent="0.25">
      <c r="B32" s="1"/>
      <c r="C32" s="226"/>
      <c r="D32" s="226"/>
      <c r="E32" s="226"/>
      <c r="F32" s="226"/>
      <c r="G32" s="226"/>
      <c r="H32" s="226"/>
      <c r="I32" s="226"/>
      <c r="J32" s="226"/>
      <c r="K32" s="226"/>
    </row>
    <row r="33" spans="2:11" x14ac:dyDescent="0.25">
      <c r="B33" s="8"/>
      <c r="C33" s="226"/>
      <c r="D33" s="226"/>
      <c r="E33" s="226"/>
      <c r="F33" s="226"/>
      <c r="G33" s="226"/>
      <c r="H33" s="226"/>
      <c r="I33" s="226"/>
      <c r="J33" s="226"/>
      <c r="K33" s="226"/>
    </row>
  </sheetData>
  <customSheetViews>
    <customSheetView guid="{4DF746F6-C3F2-4BEF-B84D-60D120277636}" topLeftCell="A16">
      <selection activeCell="C29" sqref="C29"/>
      <pageMargins left="0.7" right="0.7" top="0.75" bottom="0.75" header="0.3" footer="0.3"/>
      <pageSetup orientation="portrait" horizontalDpi="1200" verticalDpi="1200" r:id="rId1"/>
    </customSheetView>
    <customSheetView guid="{76B766A5-443C-4C54-86C8-F5C661F06BFC}" topLeftCell="A16">
      <selection activeCell="C25" sqref="C25:E29"/>
      <pageMargins left="0.7" right="0.7" top="0.75" bottom="0.75" header="0.3" footer="0.3"/>
      <pageSetup orientation="portrait" horizontalDpi="1200" verticalDpi="1200" r:id="rId2"/>
    </customSheetView>
  </customSheetViews>
  <mergeCells count="15">
    <mergeCell ref="C22:K23"/>
    <mergeCell ref="C24:J24"/>
    <mergeCell ref="C31:K33"/>
    <mergeCell ref="B2:L2"/>
    <mergeCell ref="C19:K19"/>
    <mergeCell ref="C21:K21"/>
    <mergeCell ref="C17:K17"/>
    <mergeCell ref="C6:K7"/>
    <mergeCell ref="C8:K8"/>
    <mergeCell ref="C9:K11"/>
    <mergeCell ref="B13:B14"/>
    <mergeCell ref="C13:K14"/>
    <mergeCell ref="C15:K15"/>
    <mergeCell ref="C16:K16"/>
    <mergeCell ref="C20:K20"/>
  </mergeCells>
  <pageMargins left="0.7" right="0.7" top="0.75" bottom="0.75" header="0.3" footer="0.3"/>
  <pageSetup orientation="portrait" horizontalDpi="1200" verticalDpi="1200" r:id="rId3"/>
  <ignoredErrors>
    <ignoredError sqref="B6:B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workbookViewId="0">
      <selection activeCell="B3" sqref="B3"/>
    </sheetView>
  </sheetViews>
  <sheetFormatPr defaultRowHeight="13.8" x14ac:dyDescent="0.25"/>
  <cols>
    <col min="1" max="1" width="9.109375" style="12"/>
    <col min="2" max="2" width="27.88671875" style="12" customWidth="1"/>
    <col min="3" max="3" width="10.33203125" style="12" customWidth="1"/>
    <col min="4" max="4" width="33.88671875" style="12" customWidth="1"/>
    <col min="5" max="5" width="2.88671875" style="12" customWidth="1"/>
    <col min="6" max="6" width="19.33203125" style="12" customWidth="1"/>
    <col min="7" max="246" width="9.109375" style="12"/>
    <col min="247" max="247" width="24.44140625" style="12" customWidth="1"/>
    <col min="248" max="248" width="8.44140625" style="12" customWidth="1"/>
    <col min="249" max="249" width="3.109375" style="12" customWidth="1"/>
    <col min="250" max="250" width="43.88671875" style="12" customWidth="1"/>
    <col min="251" max="251" width="5" style="12" customWidth="1"/>
    <col min="252" max="252" width="11.5546875" style="12" customWidth="1"/>
    <col min="253" max="253" width="3.33203125" style="12" customWidth="1"/>
    <col min="254" max="502" width="9.109375" style="12"/>
    <col min="503" max="503" width="24.44140625" style="12" customWidth="1"/>
    <col min="504" max="504" width="8.44140625" style="12" customWidth="1"/>
    <col min="505" max="505" width="3.109375" style="12" customWidth="1"/>
    <col min="506" max="506" width="43.88671875" style="12" customWidth="1"/>
    <col min="507" max="507" width="5" style="12" customWidth="1"/>
    <col min="508" max="508" width="11.5546875" style="12" customWidth="1"/>
    <col min="509" max="509" width="3.33203125" style="12" customWidth="1"/>
    <col min="510" max="758" width="9.109375" style="12"/>
    <col min="759" max="759" width="24.44140625" style="12" customWidth="1"/>
    <col min="760" max="760" width="8.44140625" style="12" customWidth="1"/>
    <col min="761" max="761" width="3.109375" style="12" customWidth="1"/>
    <col min="762" max="762" width="43.88671875" style="12" customWidth="1"/>
    <col min="763" max="763" width="5" style="12" customWidth="1"/>
    <col min="764" max="764" width="11.5546875" style="12" customWidth="1"/>
    <col min="765" max="765" width="3.33203125" style="12" customWidth="1"/>
    <col min="766" max="1014" width="9.109375" style="12"/>
    <col min="1015" max="1015" width="24.44140625" style="12" customWidth="1"/>
    <col min="1016" max="1016" width="8.44140625" style="12" customWidth="1"/>
    <col min="1017" max="1017" width="3.109375" style="12" customWidth="1"/>
    <col min="1018" max="1018" width="43.88671875" style="12" customWidth="1"/>
    <col min="1019" max="1019" width="5" style="12" customWidth="1"/>
    <col min="1020" max="1020" width="11.5546875" style="12" customWidth="1"/>
    <col min="1021" max="1021" width="3.33203125" style="12" customWidth="1"/>
    <col min="1022" max="1270" width="9.109375" style="12"/>
    <col min="1271" max="1271" width="24.44140625" style="12" customWidth="1"/>
    <col min="1272" max="1272" width="8.44140625" style="12" customWidth="1"/>
    <col min="1273" max="1273" width="3.109375" style="12" customWidth="1"/>
    <col min="1274" max="1274" width="43.88671875" style="12" customWidth="1"/>
    <col min="1275" max="1275" width="5" style="12" customWidth="1"/>
    <col min="1276" max="1276" width="11.5546875" style="12" customWidth="1"/>
    <col min="1277" max="1277" width="3.33203125" style="12" customWidth="1"/>
    <col min="1278" max="1526" width="9.109375" style="12"/>
    <col min="1527" max="1527" width="24.44140625" style="12" customWidth="1"/>
    <col min="1528" max="1528" width="8.44140625" style="12" customWidth="1"/>
    <col min="1529" max="1529" width="3.109375" style="12" customWidth="1"/>
    <col min="1530" max="1530" width="43.88671875" style="12" customWidth="1"/>
    <col min="1531" max="1531" width="5" style="12" customWidth="1"/>
    <col min="1532" max="1532" width="11.5546875" style="12" customWidth="1"/>
    <col min="1533" max="1533" width="3.33203125" style="12" customWidth="1"/>
    <col min="1534" max="1782" width="9.109375" style="12"/>
    <col min="1783" max="1783" width="24.44140625" style="12" customWidth="1"/>
    <col min="1784" max="1784" width="8.44140625" style="12" customWidth="1"/>
    <col min="1785" max="1785" width="3.109375" style="12" customWidth="1"/>
    <col min="1786" max="1786" width="43.88671875" style="12" customWidth="1"/>
    <col min="1787" max="1787" width="5" style="12" customWidth="1"/>
    <col min="1788" max="1788" width="11.5546875" style="12" customWidth="1"/>
    <col min="1789" max="1789" width="3.33203125" style="12" customWidth="1"/>
    <col min="1790" max="2038" width="9.109375" style="12"/>
    <col min="2039" max="2039" width="24.44140625" style="12" customWidth="1"/>
    <col min="2040" max="2040" width="8.44140625" style="12" customWidth="1"/>
    <col min="2041" max="2041" width="3.109375" style="12" customWidth="1"/>
    <col min="2042" max="2042" width="43.88671875" style="12" customWidth="1"/>
    <col min="2043" max="2043" width="5" style="12" customWidth="1"/>
    <col min="2044" max="2044" width="11.5546875" style="12" customWidth="1"/>
    <col min="2045" max="2045" width="3.33203125" style="12" customWidth="1"/>
    <col min="2046" max="2294" width="9.109375" style="12"/>
    <col min="2295" max="2295" width="24.44140625" style="12" customWidth="1"/>
    <col min="2296" max="2296" width="8.44140625" style="12" customWidth="1"/>
    <col min="2297" max="2297" width="3.109375" style="12" customWidth="1"/>
    <col min="2298" max="2298" width="43.88671875" style="12" customWidth="1"/>
    <col min="2299" max="2299" width="5" style="12" customWidth="1"/>
    <col min="2300" max="2300" width="11.5546875" style="12" customWidth="1"/>
    <col min="2301" max="2301" width="3.33203125" style="12" customWidth="1"/>
    <col min="2302" max="2550" width="9.109375" style="12"/>
    <col min="2551" max="2551" width="24.44140625" style="12" customWidth="1"/>
    <col min="2552" max="2552" width="8.44140625" style="12" customWidth="1"/>
    <col min="2553" max="2553" width="3.109375" style="12" customWidth="1"/>
    <col min="2554" max="2554" width="43.88671875" style="12" customWidth="1"/>
    <col min="2555" max="2555" width="5" style="12" customWidth="1"/>
    <col min="2556" max="2556" width="11.5546875" style="12" customWidth="1"/>
    <col min="2557" max="2557" width="3.33203125" style="12" customWidth="1"/>
    <col min="2558" max="2806" width="9.109375" style="12"/>
    <col min="2807" max="2807" width="24.44140625" style="12" customWidth="1"/>
    <col min="2808" max="2808" width="8.44140625" style="12" customWidth="1"/>
    <col min="2809" max="2809" width="3.109375" style="12" customWidth="1"/>
    <col min="2810" max="2810" width="43.88671875" style="12" customWidth="1"/>
    <col min="2811" max="2811" width="5" style="12" customWidth="1"/>
    <col min="2812" max="2812" width="11.5546875" style="12" customWidth="1"/>
    <col min="2813" max="2813" width="3.33203125" style="12" customWidth="1"/>
    <col min="2814" max="3062" width="9.109375" style="12"/>
    <col min="3063" max="3063" width="24.44140625" style="12" customWidth="1"/>
    <col min="3064" max="3064" width="8.44140625" style="12" customWidth="1"/>
    <col min="3065" max="3065" width="3.109375" style="12" customWidth="1"/>
    <col min="3066" max="3066" width="43.88671875" style="12" customWidth="1"/>
    <col min="3067" max="3067" width="5" style="12" customWidth="1"/>
    <col min="3068" max="3068" width="11.5546875" style="12" customWidth="1"/>
    <col min="3069" max="3069" width="3.33203125" style="12" customWidth="1"/>
    <col min="3070" max="3318" width="9.109375" style="12"/>
    <col min="3319" max="3319" width="24.44140625" style="12" customWidth="1"/>
    <col min="3320" max="3320" width="8.44140625" style="12" customWidth="1"/>
    <col min="3321" max="3321" width="3.109375" style="12" customWidth="1"/>
    <col min="3322" max="3322" width="43.88671875" style="12" customWidth="1"/>
    <col min="3323" max="3323" width="5" style="12" customWidth="1"/>
    <col min="3324" max="3324" width="11.5546875" style="12" customWidth="1"/>
    <col min="3325" max="3325" width="3.33203125" style="12" customWidth="1"/>
    <col min="3326" max="3574" width="9.109375" style="12"/>
    <col min="3575" max="3575" width="24.44140625" style="12" customWidth="1"/>
    <col min="3576" max="3576" width="8.44140625" style="12" customWidth="1"/>
    <col min="3577" max="3577" width="3.109375" style="12" customWidth="1"/>
    <col min="3578" max="3578" width="43.88671875" style="12" customWidth="1"/>
    <col min="3579" max="3579" width="5" style="12" customWidth="1"/>
    <col min="3580" max="3580" width="11.5546875" style="12" customWidth="1"/>
    <col min="3581" max="3581" width="3.33203125" style="12" customWidth="1"/>
    <col min="3582" max="3830" width="9.109375" style="12"/>
    <col min="3831" max="3831" width="24.44140625" style="12" customWidth="1"/>
    <col min="3832" max="3832" width="8.44140625" style="12" customWidth="1"/>
    <col min="3833" max="3833" width="3.109375" style="12" customWidth="1"/>
    <col min="3834" max="3834" width="43.88671875" style="12" customWidth="1"/>
    <col min="3835" max="3835" width="5" style="12" customWidth="1"/>
    <col min="3836" max="3836" width="11.5546875" style="12" customWidth="1"/>
    <col min="3837" max="3837" width="3.33203125" style="12" customWidth="1"/>
    <col min="3838" max="4086" width="9.109375" style="12"/>
    <col min="4087" max="4087" width="24.44140625" style="12" customWidth="1"/>
    <col min="4088" max="4088" width="8.44140625" style="12" customWidth="1"/>
    <col min="4089" max="4089" width="3.109375" style="12" customWidth="1"/>
    <col min="4090" max="4090" width="43.88671875" style="12" customWidth="1"/>
    <col min="4091" max="4091" width="5" style="12" customWidth="1"/>
    <col min="4092" max="4092" width="11.5546875" style="12" customWidth="1"/>
    <col min="4093" max="4093" width="3.33203125" style="12" customWidth="1"/>
    <col min="4094" max="4342" width="9.109375" style="12"/>
    <col min="4343" max="4343" width="24.44140625" style="12" customWidth="1"/>
    <col min="4344" max="4344" width="8.44140625" style="12" customWidth="1"/>
    <col min="4345" max="4345" width="3.109375" style="12" customWidth="1"/>
    <col min="4346" max="4346" width="43.88671875" style="12" customWidth="1"/>
    <col min="4347" max="4347" width="5" style="12" customWidth="1"/>
    <col min="4348" max="4348" width="11.5546875" style="12" customWidth="1"/>
    <col min="4349" max="4349" width="3.33203125" style="12" customWidth="1"/>
    <col min="4350" max="4598" width="9.109375" style="12"/>
    <col min="4599" max="4599" width="24.44140625" style="12" customWidth="1"/>
    <col min="4600" max="4600" width="8.44140625" style="12" customWidth="1"/>
    <col min="4601" max="4601" width="3.109375" style="12" customWidth="1"/>
    <col min="4602" max="4602" width="43.88671875" style="12" customWidth="1"/>
    <col min="4603" max="4603" width="5" style="12" customWidth="1"/>
    <col min="4604" max="4604" width="11.5546875" style="12" customWidth="1"/>
    <col min="4605" max="4605" width="3.33203125" style="12" customWidth="1"/>
    <col min="4606" max="4854" width="9.109375" style="12"/>
    <col min="4855" max="4855" width="24.44140625" style="12" customWidth="1"/>
    <col min="4856" max="4856" width="8.44140625" style="12" customWidth="1"/>
    <col min="4857" max="4857" width="3.109375" style="12" customWidth="1"/>
    <col min="4858" max="4858" width="43.88671875" style="12" customWidth="1"/>
    <col min="4859" max="4859" width="5" style="12" customWidth="1"/>
    <col min="4860" max="4860" width="11.5546875" style="12" customWidth="1"/>
    <col min="4861" max="4861" width="3.33203125" style="12" customWidth="1"/>
    <col min="4862" max="5110" width="9.109375" style="12"/>
    <col min="5111" max="5111" width="24.44140625" style="12" customWidth="1"/>
    <col min="5112" max="5112" width="8.44140625" style="12" customWidth="1"/>
    <col min="5113" max="5113" width="3.109375" style="12" customWidth="1"/>
    <col min="5114" max="5114" width="43.88671875" style="12" customWidth="1"/>
    <col min="5115" max="5115" width="5" style="12" customWidth="1"/>
    <col min="5116" max="5116" width="11.5546875" style="12" customWidth="1"/>
    <col min="5117" max="5117" width="3.33203125" style="12" customWidth="1"/>
    <col min="5118" max="5366" width="9.109375" style="12"/>
    <col min="5367" max="5367" width="24.44140625" style="12" customWidth="1"/>
    <col min="5368" max="5368" width="8.44140625" style="12" customWidth="1"/>
    <col min="5369" max="5369" width="3.109375" style="12" customWidth="1"/>
    <col min="5370" max="5370" width="43.88671875" style="12" customWidth="1"/>
    <col min="5371" max="5371" width="5" style="12" customWidth="1"/>
    <col min="5372" max="5372" width="11.5546875" style="12" customWidth="1"/>
    <col min="5373" max="5373" width="3.33203125" style="12" customWidth="1"/>
    <col min="5374" max="5622" width="9.109375" style="12"/>
    <col min="5623" max="5623" width="24.44140625" style="12" customWidth="1"/>
    <col min="5624" max="5624" width="8.44140625" style="12" customWidth="1"/>
    <col min="5625" max="5625" width="3.109375" style="12" customWidth="1"/>
    <col min="5626" max="5626" width="43.88671875" style="12" customWidth="1"/>
    <col min="5627" max="5627" width="5" style="12" customWidth="1"/>
    <col min="5628" max="5628" width="11.5546875" style="12" customWidth="1"/>
    <col min="5629" max="5629" width="3.33203125" style="12" customWidth="1"/>
    <col min="5630" max="5878" width="9.109375" style="12"/>
    <col min="5879" max="5879" width="24.44140625" style="12" customWidth="1"/>
    <col min="5880" max="5880" width="8.44140625" style="12" customWidth="1"/>
    <col min="5881" max="5881" width="3.109375" style="12" customWidth="1"/>
    <col min="5882" max="5882" width="43.88671875" style="12" customWidth="1"/>
    <col min="5883" max="5883" width="5" style="12" customWidth="1"/>
    <col min="5884" max="5884" width="11.5546875" style="12" customWidth="1"/>
    <col min="5885" max="5885" width="3.33203125" style="12" customWidth="1"/>
    <col min="5886" max="6134" width="9.109375" style="12"/>
    <col min="6135" max="6135" width="24.44140625" style="12" customWidth="1"/>
    <col min="6136" max="6136" width="8.44140625" style="12" customWidth="1"/>
    <col min="6137" max="6137" width="3.109375" style="12" customWidth="1"/>
    <col min="6138" max="6138" width="43.88671875" style="12" customWidth="1"/>
    <col min="6139" max="6139" width="5" style="12" customWidth="1"/>
    <col min="6140" max="6140" width="11.5546875" style="12" customWidth="1"/>
    <col min="6141" max="6141" width="3.33203125" style="12" customWidth="1"/>
    <col min="6142" max="6390" width="9.109375" style="12"/>
    <col min="6391" max="6391" width="24.44140625" style="12" customWidth="1"/>
    <col min="6392" max="6392" width="8.44140625" style="12" customWidth="1"/>
    <col min="6393" max="6393" width="3.109375" style="12" customWidth="1"/>
    <col min="6394" max="6394" width="43.88671875" style="12" customWidth="1"/>
    <col min="6395" max="6395" width="5" style="12" customWidth="1"/>
    <col min="6396" max="6396" width="11.5546875" style="12" customWidth="1"/>
    <col min="6397" max="6397" width="3.33203125" style="12" customWidth="1"/>
    <col min="6398" max="6646" width="9.109375" style="12"/>
    <col min="6647" max="6647" width="24.44140625" style="12" customWidth="1"/>
    <col min="6648" max="6648" width="8.44140625" style="12" customWidth="1"/>
    <col min="6649" max="6649" width="3.109375" style="12" customWidth="1"/>
    <col min="6650" max="6650" width="43.88671875" style="12" customWidth="1"/>
    <col min="6651" max="6651" width="5" style="12" customWidth="1"/>
    <col min="6652" max="6652" width="11.5546875" style="12" customWidth="1"/>
    <col min="6653" max="6653" width="3.33203125" style="12" customWidth="1"/>
    <col min="6654" max="6902" width="9.109375" style="12"/>
    <col min="6903" max="6903" width="24.44140625" style="12" customWidth="1"/>
    <col min="6904" max="6904" width="8.44140625" style="12" customWidth="1"/>
    <col min="6905" max="6905" width="3.109375" style="12" customWidth="1"/>
    <col min="6906" max="6906" width="43.88671875" style="12" customWidth="1"/>
    <col min="6907" max="6907" width="5" style="12" customWidth="1"/>
    <col min="6908" max="6908" width="11.5546875" style="12" customWidth="1"/>
    <col min="6909" max="6909" width="3.33203125" style="12" customWidth="1"/>
    <col min="6910" max="7158" width="9.109375" style="12"/>
    <col min="7159" max="7159" width="24.44140625" style="12" customWidth="1"/>
    <col min="7160" max="7160" width="8.44140625" style="12" customWidth="1"/>
    <col min="7161" max="7161" width="3.109375" style="12" customWidth="1"/>
    <col min="7162" max="7162" width="43.88671875" style="12" customWidth="1"/>
    <col min="7163" max="7163" width="5" style="12" customWidth="1"/>
    <col min="7164" max="7164" width="11.5546875" style="12" customWidth="1"/>
    <col min="7165" max="7165" width="3.33203125" style="12" customWidth="1"/>
    <col min="7166" max="7414" width="9.109375" style="12"/>
    <col min="7415" max="7415" width="24.44140625" style="12" customWidth="1"/>
    <col min="7416" max="7416" width="8.44140625" style="12" customWidth="1"/>
    <col min="7417" max="7417" width="3.109375" style="12" customWidth="1"/>
    <col min="7418" max="7418" width="43.88671875" style="12" customWidth="1"/>
    <col min="7419" max="7419" width="5" style="12" customWidth="1"/>
    <col min="7420" max="7420" width="11.5546875" style="12" customWidth="1"/>
    <col min="7421" max="7421" width="3.33203125" style="12" customWidth="1"/>
    <col min="7422" max="7670" width="9.109375" style="12"/>
    <col min="7671" max="7671" width="24.44140625" style="12" customWidth="1"/>
    <col min="7672" max="7672" width="8.44140625" style="12" customWidth="1"/>
    <col min="7673" max="7673" width="3.109375" style="12" customWidth="1"/>
    <col min="7674" max="7674" width="43.88671875" style="12" customWidth="1"/>
    <col min="7675" max="7675" width="5" style="12" customWidth="1"/>
    <col min="7676" max="7676" width="11.5546875" style="12" customWidth="1"/>
    <col min="7677" max="7677" width="3.33203125" style="12" customWidth="1"/>
    <col min="7678" max="7926" width="9.109375" style="12"/>
    <col min="7927" max="7927" width="24.44140625" style="12" customWidth="1"/>
    <col min="7928" max="7928" width="8.44140625" style="12" customWidth="1"/>
    <col min="7929" max="7929" width="3.109375" style="12" customWidth="1"/>
    <col min="7930" max="7930" width="43.88671875" style="12" customWidth="1"/>
    <col min="7931" max="7931" width="5" style="12" customWidth="1"/>
    <col min="7932" max="7932" width="11.5546875" style="12" customWidth="1"/>
    <col min="7933" max="7933" width="3.33203125" style="12" customWidth="1"/>
    <col min="7934" max="8182" width="9.109375" style="12"/>
    <col min="8183" max="8183" width="24.44140625" style="12" customWidth="1"/>
    <col min="8184" max="8184" width="8.44140625" style="12" customWidth="1"/>
    <col min="8185" max="8185" width="3.109375" style="12" customWidth="1"/>
    <col min="8186" max="8186" width="43.88671875" style="12" customWidth="1"/>
    <col min="8187" max="8187" width="5" style="12" customWidth="1"/>
    <col min="8188" max="8188" width="11.5546875" style="12" customWidth="1"/>
    <col min="8189" max="8189" width="3.33203125" style="12" customWidth="1"/>
    <col min="8190" max="8438" width="9.109375" style="12"/>
    <col min="8439" max="8439" width="24.44140625" style="12" customWidth="1"/>
    <col min="8440" max="8440" width="8.44140625" style="12" customWidth="1"/>
    <col min="8441" max="8441" width="3.109375" style="12" customWidth="1"/>
    <col min="8442" max="8442" width="43.88671875" style="12" customWidth="1"/>
    <col min="8443" max="8443" width="5" style="12" customWidth="1"/>
    <col min="8444" max="8444" width="11.5546875" style="12" customWidth="1"/>
    <col min="8445" max="8445" width="3.33203125" style="12" customWidth="1"/>
    <col min="8446" max="8694" width="9.109375" style="12"/>
    <col min="8695" max="8695" width="24.44140625" style="12" customWidth="1"/>
    <col min="8696" max="8696" width="8.44140625" style="12" customWidth="1"/>
    <col min="8697" max="8697" width="3.109375" style="12" customWidth="1"/>
    <col min="8698" max="8698" width="43.88671875" style="12" customWidth="1"/>
    <col min="8699" max="8699" width="5" style="12" customWidth="1"/>
    <col min="8700" max="8700" width="11.5546875" style="12" customWidth="1"/>
    <col min="8701" max="8701" width="3.33203125" style="12" customWidth="1"/>
    <col min="8702" max="8950" width="9.109375" style="12"/>
    <col min="8951" max="8951" width="24.44140625" style="12" customWidth="1"/>
    <col min="8952" max="8952" width="8.44140625" style="12" customWidth="1"/>
    <col min="8953" max="8953" width="3.109375" style="12" customWidth="1"/>
    <col min="8954" max="8954" width="43.88671875" style="12" customWidth="1"/>
    <col min="8955" max="8955" width="5" style="12" customWidth="1"/>
    <col min="8956" max="8956" width="11.5546875" style="12" customWidth="1"/>
    <col min="8957" max="8957" width="3.33203125" style="12" customWidth="1"/>
    <col min="8958" max="9206" width="9.109375" style="12"/>
    <col min="9207" max="9207" width="24.44140625" style="12" customWidth="1"/>
    <col min="9208" max="9208" width="8.44140625" style="12" customWidth="1"/>
    <col min="9209" max="9209" width="3.109375" style="12" customWidth="1"/>
    <col min="9210" max="9210" width="43.88671875" style="12" customWidth="1"/>
    <col min="9211" max="9211" width="5" style="12" customWidth="1"/>
    <col min="9212" max="9212" width="11.5546875" style="12" customWidth="1"/>
    <col min="9213" max="9213" width="3.33203125" style="12" customWidth="1"/>
    <col min="9214" max="9462" width="9.109375" style="12"/>
    <col min="9463" max="9463" width="24.44140625" style="12" customWidth="1"/>
    <col min="9464" max="9464" width="8.44140625" style="12" customWidth="1"/>
    <col min="9465" max="9465" width="3.109375" style="12" customWidth="1"/>
    <col min="9466" max="9466" width="43.88671875" style="12" customWidth="1"/>
    <col min="9467" max="9467" width="5" style="12" customWidth="1"/>
    <col min="9468" max="9468" width="11.5546875" style="12" customWidth="1"/>
    <col min="9469" max="9469" width="3.33203125" style="12" customWidth="1"/>
    <col min="9470" max="9718" width="9.109375" style="12"/>
    <col min="9719" max="9719" width="24.44140625" style="12" customWidth="1"/>
    <col min="9720" max="9720" width="8.44140625" style="12" customWidth="1"/>
    <col min="9721" max="9721" width="3.109375" style="12" customWidth="1"/>
    <col min="9722" max="9722" width="43.88671875" style="12" customWidth="1"/>
    <col min="9723" max="9723" width="5" style="12" customWidth="1"/>
    <col min="9724" max="9724" width="11.5546875" style="12" customWidth="1"/>
    <col min="9725" max="9725" width="3.33203125" style="12" customWidth="1"/>
    <col min="9726" max="9974" width="9.109375" style="12"/>
    <col min="9975" max="9975" width="24.44140625" style="12" customWidth="1"/>
    <col min="9976" max="9976" width="8.44140625" style="12" customWidth="1"/>
    <col min="9977" max="9977" width="3.109375" style="12" customWidth="1"/>
    <col min="9978" max="9978" width="43.88671875" style="12" customWidth="1"/>
    <col min="9979" max="9979" width="5" style="12" customWidth="1"/>
    <col min="9980" max="9980" width="11.5546875" style="12" customWidth="1"/>
    <col min="9981" max="9981" width="3.33203125" style="12" customWidth="1"/>
    <col min="9982" max="10230" width="9.109375" style="12"/>
    <col min="10231" max="10231" width="24.44140625" style="12" customWidth="1"/>
    <col min="10232" max="10232" width="8.44140625" style="12" customWidth="1"/>
    <col min="10233" max="10233" width="3.109375" style="12" customWidth="1"/>
    <col min="10234" max="10234" width="43.88671875" style="12" customWidth="1"/>
    <col min="10235" max="10235" width="5" style="12" customWidth="1"/>
    <col min="10236" max="10236" width="11.5546875" style="12" customWidth="1"/>
    <col min="10237" max="10237" width="3.33203125" style="12" customWidth="1"/>
    <col min="10238" max="10486" width="9.109375" style="12"/>
    <col min="10487" max="10487" width="24.44140625" style="12" customWidth="1"/>
    <col min="10488" max="10488" width="8.44140625" style="12" customWidth="1"/>
    <col min="10489" max="10489" width="3.109375" style="12" customWidth="1"/>
    <col min="10490" max="10490" width="43.88671875" style="12" customWidth="1"/>
    <col min="10491" max="10491" width="5" style="12" customWidth="1"/>
    <col min="10492" max="10492" width="11.5546875" style="12" customWidth="1"/>
    <col min="10493" max="10493" width="3.33203125" style="12" customWidth="1"/>
    <col min="10494" max="10742" width="9.109375" style="12"/>
    <col min="10743" max="10743" width="24.44140625" style="12" customWidth="1"/>
    <col min="10744" max="10744" width="8.44140625" style="12" customWidth="1"/>
    <col min="10745" max="10745" width="3.109375" style="12" customWidth="1"/>
    <col min="10746" max="10746" width="43.88671875" style="12" customWidth="1"/>
    <col min="10747" max="10747" width="5" style="12" customWidth="1"/>
    <col min="10748" max="10748" width="11.5546875" style="12" customWidth="1"/>
    <col min="10749" max="10749" width="3.33203125" style="12" customWidth="1"/>
    <col min="10750" max="10998" width="9.109375" style="12"/>
    <col min="10999" max="10999" width="24.44140625" style="12" customWidth="1"/>
    <col min="11000" max="11000" width="8.44140625" style="12" customWidth="1"/>
    <col min="11001" max="11001" width="3.109375" style="12" customWidth="1"/>
    <col min="11002" max="11002" width="43.88671875" style="12" customWidth="1"/>
    <col min="11003" max="11003" width="5" style="12" customWidth="1"/>
    <col min="11004" max="11004" width="11.5546875" style="12" customWidth="1"/>
    <col min="11005" max="11005" width="3.33203125" style="12" customWidth="1"/>
    <col min="11006" max="11254" width="9.109375" style="12"/>
    <col min="11255" max="11255" width="24.44140625" style="12" customWidth="1"/>
    <col min="11256" max="11256" width="8.44140625" style="12" customWidth="1"/>
    <col min="11257" max="11257" width="3.109375" style="12" customWidth="1"/>
    <col min="11258" max="11258" width="43.88671875" style="12" customWidth="1"/>
    <col min="11259" max="11259" width="5" style="12" customWidth="1"/>
    <col min="11260" max="11260" width="11.5546875" style="12" customWidth="1"/>
    <col min="11261" max="11261" width="3.33203125" style="12" customWidth="1"/>
    <col min="11262" max="11510" width="9.109375" style="12"/>
    <col min="11511" max="11511" width="24.44140625" style="12" customWidth="1"/>
    <col min="11512" max="11512" width="8.44140625" style="12" customWidth="1"/>
    <col min="11513" max="11513" width="3.109375" style="12" customWidth="1"/>
    <col min="11514" max="11514" width="43.88671875" style="12" customWidth="1"/>
    <col min="11515" max="11515" width="5" style="12" customWidth="1"/>
    <col min="11516" max="11516" width="11.5546875" style="12" customWidth="1"/>
    <col min="11517" max="11517" width="3.33203125" style="12" customWidth="1"/>
    <col min="11518" max="11766" width="9.109375" style="12"/>
    <col min="11767" max="11767" width="24.44140625" style="12" customWidth="1"/>
    <col min="11768" max="11768" width="8.44140625" style="12" customWidth="1"/>
    <col min="11769" max="11769" width="3.109375" style="12" customWidth="1"/>
    <col min="11770" max="11770" width="43.88671875" style="12" customWidth="1"/>
    <col min="11771" max="11771" width="5" style="12" customWidth="1"/>
    <col min="11772" max="11772" width="11.5546875" style="12" customWidth="1"/>
    <col min="11773" max="11773" width="3.33203125" style="12" customWidth="1"/>
    <col min="11774" max="12022" width="9.109375" style="12"/>
    <col min="12023" max="12023" width="24.44140625" style="12" customWidth="1"/>
    <col min="12024" max="12024" width="8.44140625" style="12" customWidth="1"/>
    <col min="12025" max="12025" width="3.109375" style="12" customWidth="1"/>
    <col min="12026" max="12026" width="43.88671875" style="12" customWidth="1"/>
    <col min="12027" max="12027" width="5" style="12" customWidth="1"/>
    <col min="12028" max="12028" width="11.5546875" style="12" customWidth="1"/>
    <col min="12029" max="12029" width="3.33203125" style="12" customWidth="1"/>
    <col min="12030" max="12278" width="9.109375" style="12"/>
    <col min="12279" max="12279" width="24.44140625" style="12" customWidth="1"/>
    <col min="12280" max="12280" width="8.44140625" style="12" customWidth="1"/>
    <col min="12281" max="12281" width="3.109375" style="12" customWidth="1"/>
    <col min="12282" max="12282" width="43.88671875" style="12" customWidth="1"/>
    <col min="12283" max="12283" width="5" style="12" customWidth="1"/>
    <col min="12284" max="12284" width="11.5546875" style="12" customWidth="1"/>
    <col min="12285" max="12285" width="3.33203125" style="12" customWidth="1"/>
    <col min="12286" max="12534" width="9.109375" style="12"/>
    <col min="12535" max="12535" width="24.44140625" style="12" customWidth="1"/>
    <col min="12536" max="12536" width="8.44140625" style="12" customWidth="1"/>
    <col min="12537" max="12537" width="3.109375" style="12" customWidth="1"/>
    <col min="12538" max="12538" width="43.88671875" style="12" customWidth="1"/>
    <col min="12539" max="12539" width="5" style="12" customWidth="1"/>
    <col min="12540" max="12540" width="11.5546875" style="12" customWidth="1"/>
    <col min="12541" max="12541" width="3.33203125" style="12" customWidth="1"/>
    <col min="12542" max="12790" width="9.109375" style="12"/>
    <col min="12791" max="12791" width="24.44140625" style="12" customWidth="1"/>
    <col min="12792" max="12792" width="8.44140625" style="12" customWidth="1"/>
    <col min="12793" max="12793" width="3.109375" style="12" customWidth="1"/>
    <col min="12794" max="12794" width="43.88671875" style="12" customWidth="1"/>
    <col min="12795" max="12795" width="5" style="12" customWidth="1"/>
    <col min="12796" max="12796" width="11.5546875" style="12" customWidth="1"/>
    <col min="12797" max="12797" width="3.33203125" style="12" customWidth="1"/>
    <col min="12798" max="13046" width="9.109375" style="12"/>
    <col min="13047" max="13047" width="24.44140625" style="12" customWidth="1"/>
    <col min="13048" max="13048" width="8.44140625" style="12" customWidth="1"/>
    <col min="13049" max="13049" width="3.109375" style="12" customWidth="1"/>
    <col min="13050" max="13050" width="43.88671875" style="12" customWidth="1"/>
    <col min="13051" max="13051" width="5" style="12" customWidth="1"/>
    <col min="13052" max="13052" width="11.5546875" style="12" customWidth="1"/>
    <col min="13053" max="13053" width="3.33203125" style="12" customWidth="1"/>
    <col min="13054" max="13302" width="9.109375" style="12"/>
    <col min="13303" max="13303" width="24.44140625" style="12" customWidth="1"/>
    <col min="13304" max="13304" width="8.44140625" style="12" customWidth="1"/>
    <col min="13305" max="13305" width="3.109375" style="12" customWidth="1"/>
    <col min="13306" max="13306" width="43.88671875" style="12" customWidth="1"/>
    <col min="13307" max="13307" width="5" style="12" customWidth="1"/>
    <col min="13308" max="13308" width="11.5546875" style="12" customWidth="1"/>
    <col min="13309" max="13309" width="3.33203125" style="12" customWidth="1"/>
    <col min="13310" max="13558" width="9.109375" style="12"/>
    <col min="13559" max="13559" width="24.44140625" style="12" customWidth="1"/>
    <col min="13560" max="13560" width="8.44140625" style="12" customWidth="1"/>
    <col min="13561" max="13561" width="3.109375" style="12" customWidth="1"/>
    <col min="13562" max="13562" width="43.88671875" style="12" customWidth="1"/>
    <col min="13563" max="13563" width="5" style="12" customWidth="1"/>
    <col min="13564" max="13564" width="11.5546875" style="12" customWidth="1"/>
    <col min="13565" max="13565" width="3.33203125" style="12" customWidth="1"/>
    <col min="13566" max="13814" width="9.109375" style="12"/>
    <col min="13815" max="13815" width="24.44140625" style="12" customWidth="1"/>
    <col min="13816" max="13816" width="8.44140625" style="12" customWidth="1"/>
    <col min="13817" max="13817" width="3.109375" style="12" customWidth="1"/>
    <col min="13818" max="13818" width="43.88671875" style="12" customWidth="1"/>
    <col min="13819" max="13819" width="5" style="12" customWidth="1"/>
    <col min="13820" max="13820" width="11.5546875" style="12" customWidth="1"/>
    <col min="13821" max="13821" width="3.33203125" style="12" customWidth="1"/>
    <col min="13822" max="14070" width="9.109375" style="12"/>
    <col min="14071" max="14071" width="24.44140625" style="12" customWidth="1"/>
    <col min="14072" max="14072" width="8.44140625" style="12" customWidth="1"/>
    <col min="14073" max="14073" width="3.109375" style="12" customWidth="1"/>
    <col min="14074" max="14074" width="43.88671875" style="12" customWidth="1"/>
    <col min="14075" max="14075" width="5" style="12" customWidth="1"/>
    <col min="14076" max="14076" width="11.5546875" style="12" customWidth="1"/>
    <col min="14077" max="14077" width="3.33203125" style="12" customWidth="1"/>
    <col min="14078" max="14326" width="9.109375" style="12"/>
    <col min="14327" max="14327" width="24.44140625" style="12" customWidth="1"/>
    <col min="14328" max="14328" width="8.44140625" style="12" customWidth="1"/>
    <col min="14329" max="14329" width="3.109375" style="12" customWidth="1"/>
    <col min="14330" max="14330" width="43.88671875" style="12" customWidth="1"/>
    <col min="14331" max="14331" width="5" style="12" customWidth="1"/>
    <col min="14332" max="14332" width="11.5546875" style="12" customWidth="1"/>
    <col min="14333" max="14333" width="3.33203125" style="12" customWidth="1"/>
    <col min="14334" max="14582" width="9.109375" style="12"/>
    <col min="14583" max="14583" width="24.44140625" style="12" customWidth="1"/>
    <col min="14584" max="14584" width="8.44140625" style="12" customWidth="1"/>
    <col min="14585" max="14585" width="3.109375" style="12" customWidth="1"/>
    <col min="14586" max="14586" width="43.88671875" style="12" customWidth="1"/>
    <col min="14587" max="14587" width="5" style="12" customWidth="1"/>
    <col min="14588" max="14588" width="11.5546875" style="12" customWidth="1"/>
    <col min="14589" max="14589" width="3.33203125" style="12" customWidth="1"/>
    <col min="14590" max="14838" width="9.109375" style="12"/>
    <col min="14839" max="14839" width="24.44140625" style="12" customWidth="1"/>
    <col min="14840" max="14840" width="8.44140625" style="12" customWidth="1"/>
    <col min="14841" max="14841" width="3.109375" style="12" customWidth="1"/>
    <col min="14842" max="14842" width="43.88671875" style="12" customWidth="1"/>
    <col min="14843" max="14843" width="5" style="12" customWidth="1"/>
    <col min="14844" max="14844" width="11.5546875" style="12" customWidth="1"/>
    <col min="14845" max="14845" width="3.33203125" style="12" customWidth="1"/>
    <col min="14846" max="15094" width="9.109375" style="12"/>
    <col min="15095" max="15095" width="24.44140625" style="12" customWidth="1"/>
    <col min="15096" max="15096" width="8.44140625" style="12" customWidth="1"/>
    <col min="15097" max="15097" width="3.109375" style="12" customWidth="1"/>
    <col min="15098" max="15098" width="43.88671875" style="12" customWidth="1"/>
    <col min="15099" max="15099" width="5" style="12" customWidth="1"/>
    <col min="15100" max="15100" width="11.5546875" style="12" customWidth="1"/>
    <col min="15101" max="15101" width="3.33203125" style="12" customWidth="1"/>
    <col min="15102" max="15350" width="9.109375" style="12"/>
    <col min="15351" max="15351" width="24.44140625" style="12" customWidth="1"/>
    <col min="15352" max="15352" width="8.44140625" style="12" customWidth="1"/>
    <col min="15353" max="15353" width="3.109375" style="12" customWidth="1"/>
    <col min="15354" max="15354" width="43.88671875" style="12" customWidth="1"/>
    <col min="15355" max="15355" width="5" style="12" customWidth="1"/>
    <col min="15356" max="15356" width="11.5546875" style="12" customWidth="1"/>
    <col min="15357" max="15357" width="3.33203125" style="12" customWidth="1"/>
    <col min="15358" max="15606" width="9.109375" style="12"/>
    <col min="15607" max="15607" width="24.44140625" style="12" customWidth="1"/>
    <col min="15608" max="15608" width="8.44140625" style="12" customWidth="1"/>
    <col min="15609" max="15609" width="3.109375" style="12" customWidth="1"/>
    <col min="15610" max="15610" width="43.88671875" style="12" customWidth="1"/>
    <col min="15611" max="15611" width="5" style="12" customWidth="1"/>
    <col min="15612" max="15612" width="11.5546875" style="12" customWidth="1"/>
    <col min="15613" max="15613" width="3.33203125" style="12" customWidth="1"/>
    <col min="15614" max="15862" width="9.109375" style="12"/>
    <col min="15863" max="15863" width="24.44140625" style="12" customWidth="1"/>
    <col min="15864" max="15864" width="8.44140625" style="12" customWidth="1"/>
    <col min="15865" max="15865" width="3.109375" style="12" customWidth="1"/>
    <col min="15866" max="15866" width="43.88671875" style="12" customWidth="1"/>
    <col min="15867" max="15867" width="5" style="12" customWidth="1"/>
    <col min="15868" max="15868" width="11.5546875" style="12" customWidth="1"/>
    <col min="15869" max="15869" width="3.33203125" style="12" customWidth="1"/>
    <col min="15870" max="16118" width="9.109375" style="12"/>
    <col min="16119" max="16119" width="24.44140625" style="12" customWidth="1"/>
    <col min="16120" max="16120" width="8.44140625" style="12" customWidth="1"/>
    <col min="16121" max="16121" width="3.109375" style="12" customWidth="1"/>
    <col min="16122" max="16122" width="43.88671875" style="12" customWidth="1"/>
    <col min="16123" max="16123" width="5" style="12" customWidth="1"/>
    <col min="16124" max="16124" width="11.5546875" style="12" customWidth="1"/>
    <col min="16125" max="16125" width="3.33203125" style="12" customWidth="1"/>
    <col min="16126" max="16384" width="9.109375" style="12"/>
  </cols>
  <sheetData>
    <row r="1" spans="1:6" x14ac:dyDescent="0.25">
      <c r="A1" s="11"/>
    </row>
    <row r="2" spans="1:6" ht="39" customHeight="1" x14ac:dyDescent="0.25">
      <c r="A2" s="11"/>
      <c r="B2" s="234" t="s">
        <v>205</v>
      </c>
      <c r="C2" s="234"/>
      <c r="D2" s="234"/>
      <c r="E2" s="234"/>
      <c r="F2" s="234"/>
    </row>
    <row r="3" spans="1:6" x14ac:dyDescent="0.25">
      <c r="A3" s="11"/>
      <c r="B3" s="13"/>
      <c r="C3" s="14" t="s">
        <v>19</v>
      </c>
      <c r="D3" s="15" t="s">
        <v>0</v>
      </c>
      <c r="F3" s="16" t="s">
        <v>115</v>
      </c>
    </row>
    <row r="4" spans="1:6" x14ac:dyDescent="0.25">
      <c r="A4" s="11"/>
      <c r="B4" s="17" t="s">
        <v>41</v>
      </c>
      <c r="C4" s="18"/>
      <c r="D4" s="19" t="s">
        <v>39</v>
      </c>
    </row>
    <row r="5" spans="1:6" x14ac:dyDescent="0.25">
      <c r="A5" s="11"/>
      <c r="B5" s="9" t="s">
        <v>23</v>
      </c>
      <c r="C5" s="147">
        <v>25</v>
      </c>
      <c r="D5" s="19" t="s">
        <v>40</v>
      </c>
      <c r="F5" s="20"/>
    </row>
    <row r="6" spans="1:6" x14ac:dyDescent="0.25">
      <c r="A6" s="11"/>
      <c r="B6" s="9" t="s">
        <v>24</v>
      </c>
      <c r="C6" s="147">
        <v>25</v>
      </c>
      <c r="D6" s="19" t="s">
        <v>40</v>
      </c>
      <c r="F6" s="20"/>
    </row>
    <row r="7" spans="1:6" x14ac:dyDescent="0.25">
      <c r="A7" s="11"/>
      <c r="B7" s="9" t="s">
        <v>25</v>
      </c>
      <c r="C7" s="147">
        <v>50</v>
      </c>
      <c r="D7" s="19" t="s">
        <v>40</v>
      </c>
      <c r="F7" s="20"/>
    </row>
    <row r="8" spans="1:6" x14ac:dyDescent="0.25">
      <c r="A8" s="11"/>
      <c r="B8" s="9" t="s">
        <v>26</v>
      </c>
      <c r="C8" s="147">
        <v>50</v>
      </c>
      <c r="D8" s="19" t="s">
        <v>40</v>
      </c>
      <c r="F8" s="20"/>
    </row>
    <row r="9" spans="1:6" x14ac:dyDescent="0.25">
      <c r="A9" s="11"/>
      <c r="B9" s="21" t="s">
        <v>97</v>
      </c>
      <c r="C9" s="147">
        <v>30</v>
      </c>
      <c r="D9" s="19" t="s">
        <v>40</v>
      </c>
      <c r="F9" s="20"/>
    </row>
    <row r="10" spans="1:6" x14ac:dyDescent="0.25">
      <c r="A10" s="11"/>
      <c r="B10" s="9" t="s">
        <v>27</v>
      </c>
      <c r="C10" s="147">
        <v>400</v>
      </c>
      <c r="D10" s="19"/>
      <c r="F10" s="20"/>
    </row>
    <row r="11" spans="1:6" x14ac:dyDescent="0.25">
      <c r="A11" s="11"/>
      <c r="B11" s="9" t="s">
        <v>28</v>
      </c>
      <c r="C11" s="147">
        <f>SUM(C5:C10)*0.05</f>
        <v>29</v>
      </c>
      <c r="D11" s="104" t="s">
        <v>167</v>
      </c>
      <c r="F11" s="20"/>
    </row>
    <row r="12" spans="1:6" ht="14.4" x14ac:dyDescent="0.3">
      <c r="A12" s="11"/>
      <c r="B12" s="22" t="s">
        <v>29</v>
      </c>
      <c r="C12" s="23">
        <f>SUM(C5:C11)</f>
        <v>609</v>
      </c>
      <c r="D12" s="19"/>
      <c r="F12" s="20"/>
    </row>
    <row r="13" spans="1:6" x14ac:dyDescent="0.25">
      <c r="A13" s="11"/>
      <c r="B13" s="24"/>
      <c r="C13" s="25"/>
      <c r="D13" s="24"/>
    </row>
    <row r="14" spans="1:6" x14ac:dyDescent="0.25">
      <c r="A14" s="11"/>
      <c r="B14" s="17" t="s">
        <v>42</v>
      </c>
      <c r="C14" s="25"/>
      <c r="D14" s="26"/>
    </row>
    <row r="15" spans="1:6" x14ac:dyDescent="0.25">
      <c r="A15" s="11"/>
      <c r="B15" s="9" t="s">
        <v>30</v>
      </c>
      <c r="C15" s="147">
        <v>1160</v>
      </c>
      <c r="D15" s="104"/>
      <c r="F15" s="20"/>
    </row>
    <row r="16" spans="1:6" x14ac:dyDescent="0.25">
      <c r="A16" s="11"/>
      <c r="B16" s="9" t="s">
        <v>31</v>
      </c>
      <c r="C16" s="147">
        <v>270</v>
      </c>
      <c r="D16" s="104"/>
      <c r="F16" s="20"/>
    </row>
    <row r="17" spans="1:6" x14ac:dyDescent="0.25">
      <c r="A17" s="11"/>
      <c r="B17" s="9" t="s">
        <v>32</v>
      </c>
      <c r="C17" s="147">
        <v>50</v>
      </c>
      <c r="D17" s="104"/>
      <c r="F17" s="20"/>
    </row>
    <row r="18" spans="1:6" x14ac:dyDescent="0.25">
      <c r="A18" s="11"/>
      <c r="B18" s="9" t="s">
        <v>33</v>
      </c>
      <c r="C18" s="147">
        <v>250</v>
      </c>
      <c r="D18" s="104"/>
      <c r="F18" s="20"/>
    </row>
    <row r="19" spans="1:6" x14ac:dyDescent="0.25">
      <c r="A19" s="11"/>
      <c r="B19" s="9" t="s">
        <v>142</v>
      </c>
      <c r="C19" s="147">
        <v>1200</v>
      </c>
      <c r="D19" s="104"/>
      <c r="F19" s="20"/>
    </row>
    <row r="20" spans="1:6" x14ac:dyDescent="0.25">
      <c r="A20" s="11"/>
      <c r="B20" s="21" t="s">
        <v>143</v>
      </c>
      <c r="C20" s="147">
        <v>2000</v>
      </c>
      <c r="D20" s="104"/>
      <c r="F20" s="20"/>
    </row>
    <row r="21" spans="1:6" x14ac:dyDescent="0.25">
      <c r="A21" s="11"/>
      <c r="B21" s="9" t="s">
        <v>34</v>
      </c>
      <c r="C21" s="147">
        <v>2000</v>
      </c>
      <c r="D21" s="104"/>
      <c r="F21" s="20"/>
    </row>
    <row r="22" spans="1:6" x14ac:dyDescent="0.25">
      <c r="A22" s="11"/>
      <c r="B22" s="9" t="s">
        <v>35</v>
      </c>
      <c r="C22" s="147">
        <v>200</v>
      </c>
      <c r="D22" s="104" t="s">
        <v>65</v>
      </c>
      <c r="F22" s="20"/>
    </row>
    <row r="23" spans="1:6" x14ac:dyDescent="0.25">
      <c r="A23" s="11"/>
      <c r="B23" s="9" t="s">
        <v>28</v>
      </c>
      <c r="C23" s="147">
        <f>(SUM(C15:C22)*0.05)</f>
        <v>356.5</v>
      </c>
      <c r="D23" s="104" t="s">
        <v>177</v>
      </c>
      <c r="F23" s="20"/>
    </row>
    <row r="24" spans="1:6" ht="14.4" x14ac:dyDescent="0.3">
      <c r="A24" s="11"/>
      <c r="B24" s="27" t="s">
        <v>36</v>
      </c>
      <c r="C24" s="23">
        <f>+SUM(C15:C23)</f>
        <v>7486.5</v>
      </c>
      <c r="D24" s="19"/>
      <c r="F24" s="20"/>
    </row>
    <row r="25" spans="1:6" x14ac:dyDescent="0.25">
      <c r="A25" s="11"/>
      <c r="B25" s="28"/>
      <c r="C25" s="25"/>
      <c r="D25" s="24"/>
    </row>
    <row r="26" spans="1:6" x14ac:dyDescent="0.25">
      <c r="A26" s="11"/>
      <c r="B26" s="29" t="s">
        <v>37</v>
      </c>
      <c r="C26" s="30"/>
      <c r="D26" s="31"/>
    </row>
    <row r="27" spans="1:6" x14ac:dyDescent="0.25">
      <c r="A27" s="11"/>
      <c r="B27" s="29" t="s">
        <v>38</v>
      </c>
      <c r="C27" s="30">
        <f>+C12+C24</f>
        <v>8095.5</v>
      </c>
      <c r="D27" s="19"/>
      <c r="F27" s="20"/>
    </row>
    <row r="28" spans="1:6" x14ac:dyDescent="0.25">
      <c r="A28" s="11"/>
      <c r="B28" s="10"/>
      <c r="C28" s="32"/>
      <c r="D28" s="10"/>
      <c r="F28" s="33"/>
    </row>
    <row r="29" spans="1:6" x14ac:dyDescent="0.25">
      <c r="A29" s="11"/>
      <c r="C29" s="34"/>
    </row>
    <row r="30" spans="1:6" x14ac:dyDescent="0.25">
      <c r="A30" s="11"/>
      <c r="C30" s="34"/>
    </row>
    <row r="31" spans="1:6" x14ac:dyDescent="0.25">
      <c r="A31" s="11"/>
      <c r="C31" s="34"/>
    </row>
    <row r="32" spans="1:6" x14ac:dyDescent="0.25">
      <c r="A32" s="11"/>
      <c r="C32" s="34"/>
    </row>
    <row r="33" spans="1:3" x14ac:dyDescent="0.25">
      <c r="A33" s="11"/>
      <c r="C33" s="34"/>
    </row>
    <row r="34" spans="1:3" x14ac:dyDescent="0.25">
      <c r="A34" s="11"/>
      <c r="C34" s="34"/>
    </row>
    <row r="35" spans="1:3" x14ac:dyDescent="0.25">
      <c r="A35" s="11"/>
      <c r="C35" s="34"/>
    </row>
    <row r="36" spans="1:3" x14ac:dyDescent="0.25">
      <c r="A36" s="11"/>
      <c r="C36" s="34"/>
    </row>
    <row r="37" spans="1:3" x14ac:dyDescent="0.25">
      <c r="A37" s="11"/>
      <c r="C37" s="34"/>
    </row>
    <row r="38" spans="1:3" x14ac:dyDescent="0.25">
      <c r="C38" s="34"/>
    </row>
  </sheetData>
  <protectedRanges>
    <protectedRange sqref="A1:XFD11 A13:XFD23 A25:XFD25 A28:XFD38" name="Range1"/>
  </protectedRanges>
  <customSheetViews>
    <customSheetView guid="{4DF746F6-C3F2-4BEF-B84D-60D120277636}" fitToPage="1">
      <selection activeCell="B2" sqref="B2:F2"/>
      <pageMargins left="0.7" right="0.7" top="0.75" bottom="0.75" header="0.3" footer="0.3"/>
      <pageSetup orientation="portrait" r:id="rId1"/>
    </customSheetView>
    <customSheetView guid="{76B766A5-443C-4C54-86C8-F5C661F06BFC}" fitToPage="1">
      <selection activeCell="B20" sqref="B20:B21"/>
      <pageMargins left="0.7" right="0.7" top="0.75" bottom="0.75" header="0.3" footer="0.3"/>
      <pageSetup orientation="portrait" r:id="rId2"/>
    </customSheetView>
  </customSheetViews>
  <mergeCells count="1">
    <mergeCell ref="B2:F2"/>
  </mergeCells>
  <pageMargins left="0.7" right="0.7" top="0.75" bottom="0.75" header="0.3" footer="0.3"/>
  <pageSetup orientation="portrait" r:id="rId3"/>
  <ignoredErrors>
    <ignoredError sqref="C11:C2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6"/>
  <sheetViews>
    <sheetView zoomScaleNormal="100" workbookViewId="0">
      <selection activeCell="B2" sqref="B2:F2"/>
    </sheetView>
  </sheetViews>
  <sheetFormatPr defaultRowHeight="13.8" x14ac:dyDescent="0.25"/>
  <cols>
    <col min="1" max="1" width="9.109375" style="12"/>
    <col min="2" max="2" width="2.5546875" style="12" customWidth="1"/>
    <col min="3" max="3" width="33.5546875" style="12" customWidth="1"/>
    <col min="4" max="4" width="12.88671875" style="12" customWidth="1"/>
    <col min="5" max="5" width="16.33203125" style="35" customWidth="1"/>
    <col min="6" max="6" width="66.33203125" style="12" customWidth="1"/>
    <col min="7" max="7" width="3.33203125" style="11" customWidth="1"/>
    <col min="8" max="8" width="19.33203125" style="145" customWidth="1"/>
    <col min="9" max="241" width="9.109375" style="12"/>
    <col min="242" max="242" width="1.88671875" style="12" customWidth="1"/>
    <col min="243" max="243" width="2.6640625" style="12" customWidth="1"/>
    <col min="244" max="244" width="17.6640625" style="12" customWidth="1"/>
    <col min="245" max="245" width="3.109375" style="12" customWidth="1"/>
    <col min="246" max="246" width="9.5546875" style="12" customWidth="1"/>
    <col min="247" max="247" width="10.5546875" style="12" customWidth="1"/>
    <col min="248" max="248" width="10.88671875" style="12" customWidth="1"/>
    <col min="249" max="250" width="9.109375" style="12"/>
    <col min="251" max="251" width="23.5546875" style="12" customWidth="1"/>
    <col min="252" max="252" width="3.33203125" style="12" customWidth="1"/>
    <col min="253" max="253" width="9" style="12" customWidth="1"/>
    <col min="254" max="254" width="1" style="12" customWidth="1"/>
    <col min="255" max="255" width="9.33203125" style="12" customWidth="1"/>
    <col min="256" max="256" width="4.44140625" style="12" customWidth="1"/>
    <col min="257" max="257" width="13.88671875" style="12" customWidth="1"/>
    <col min="258" max="497" width="9.109375" style="12"/>
    <col min="498" max="498" width="1.88671875" style="12" customWidth="1"/>
    <col min="499" max="499" width="2.6640625" style="12" customWidth="1"/>
    <col min="500" max="500" width="17.6640625" style="12" customWidth="1"/>
    <col min="501" max="501" width="3.109375" style="12" customWidth="1"/>
    <col min="502" max="502" width="9.5546875" style="12" customWidth="1"/>
    <col min="503" max="503" width="10.5546875" style="12" customWidth="1"/>
    <col min="504" max="504" width="10.88671875" style="12" customWidth="1"/>
    <col min="505" max="506" width="9.109375" style="12"/>
    <col min="507" max="507" width="23.5546875" style="12" customWidth="1"/>
    <col min="508" max="508" width="3.33203125" style="12" customWidth="1"/>
    <col min="509" max="509" width="9" style="12" customWidth="1"/>
    <col min="510" max="510" width="1" style="12" customWidth="1"/>
    <col min="511" max="511" width="9.33203125" style="12" customWidth="1"/>
    <col min="512" max="512" width="4.44140625" style="12" customWidth="1"/>
    <col min="513" max="513" width="13.88671875" style="12" customWidth="1"/>
    <col min="514" max="753" width="9.109375" style="12"/>
    <col min="754" max="754" width="1.88671875" style="12" customWidth="1"/>
    <col min="755" max="755" width="2.6640625" style="12" customWidth="1"/>
    <col min="756" max="756" width="17.6640625" style="12" customWidth="1"/>
    <col min="757" max="757" width="3.109375" style="12" customWidth="1"/>
    <col min="758" max="758" width="9.5546875" style="12" customWidth="1"/>
    <col min="759" max="759" width="10.5546875" style="12" customWidth="1"/>
    <col min="760" max="760" width="10.88671875" style="12" customWidth="1"/>
    <col min="761" max="762" width="9.109375" style="12"/>
    <col min="763" max="763" width="23.5546875" style="12" customWidth="1"/>
    <col min="764" max="764" width="3.33203125" style="12" customWidth="1"/>
    <col min="765" max="765" width="9" style="12" customWidth="1"/>
    <col min="766" max="766" width="1" style="12" customWidth="1"/>
    <col min="767" max="767" width="9.33203125" style="12" customWidth="1"/>
    <col min="768" max="768" width="4.44140625" style="12" customWidth="1"/>
    <col min="769" max="769" width="13.88671875" style="12" customWidth="1"/>
    <col min="770" max="1009" width="9.109375" style="12"/>
    <col min="1010" max="1010" width="1.88671875" style="12" customWidth="1"/>
    <col min="1011" max="1011" width="2.6640625" style="12" customWidth="1"/>
    <col min="1012" max="1012" width="17.6640625" style="12" customWidth="1"/>
    <col min="1013" max="1013" width="3.109375" style="12" customWidth="1"/>
    <col min="1014" max="1014" width="9.5546875" style="12" customWidth="1"/>
    <col min="1015" max="1015" width="10.5546875" style="12" customWidth="1"/>
    <col min="1016" max="1016" width="10.88671875" style="12" customWidth="1"/>
    <col min="1017" max="1018" width="9.109375" style="12"/>
    <col min="1019" max="1019" width="23.5546875" style="12" customWidth="1"/>
    <col min="1020" max="1020" width="3.33203125" style="12" customWidth="1"/>
    <col min="1021" max="1021" width="9" style="12" customWidth="1"/>
    <col min="1022" max="1022" width="1" style="12" customWidth="1"/>
    <col min="1023" max="1023" width="9.33203125" style="12" customWidth="1"/>
    <col min="1024" max="1024" width="4.44140625" style="12" customWidth="1"/>
    <col min="1025" max="1025" width="13.88671875" style="12" customWidth="1"/>
    <col min="1026" max="1265" width="9.109375" style="12"/>
    <col min="1266" max="1266" width="1.88671875" style="12" customWidth="1"/>
    <col min="1267" max="1267" width="2.6640625" style="12" customWidth="1"/>
    <col min="1268" max="1268" width="17.6640625" style="12" customWidth="1"/>
    <col min="1269" max="1269" width="3.109375" style="12" customWidth="1"/>
    <col min="1270" max="1270" width="9.5546875" style="12" customWidth="1"/>
    <col min="1271" max="1271" width="10.5546875" style="12" customWidth="1"/>
    <col min="1272" max="1272" width="10.88671875" style="12" customWidth="1"/>
    <col min="1273" max="1274" width="9.109375" style="12"/>
    <col min="1275" max="1275" width="23.5546875" style="12" customWidth="1"/>
    <col min="1276" max="1276" width="3.33203125" style="12" customWidth="1"/>
    <col min="1277" max="1277" width="9" style="12" customWidth="1"/>
    <col min="1278" max="1278" width="1" style="12" customWidth="1"/>
    <col min="1279" max="1279" width="9.33203125" style="12" customWidth="1"/>
    <col min="1280" max="1280" width="4.44140625" style="12" customWidth="1"/>
    <col min="1281" max="1281" width="13.88671875" style="12" customWidth="1"/>
    <col min="1282" max="1521" width="9.109375" style="12"/>
    <col min="1522" max="1522" width="1.88671875" style="12" customWidth="1"/>
    <col min="1523" max="1523" width="2.6640625" style="12" customWidth="1"/>
    <col min="1524" max="1524" width="17.6640625" style="12" customWidth="1"/>
    <col min="1525" max="1525" width="3.109375" style="12" customWidth="1"/>
    <col min="1526" max="1526" width="9.5546875" style="12" customWidth="1"/>
    <col min="1527" max="1527" width="10.5546875" style="12" customWidth="1"/>
    <col min="1528" max="1528" width="10.88671875" style="12" customWidth="1"/>
    <col min="1529" max="1530" width="9.109375" style="12"/>
    <col min="1531" max="1531" width="23.5546875" style="12" customWidth="1"/>
    <col min="1532" max="1532" width="3.33203125" style="12" customWidth="1"/>
    <col min="1533" max="1533" width="9" style="12" customWidth="1"/>
    <col min="1534" max="1534" width="1" style="12" customWidth="1"/>
    <col min="1535" max="1535" width="9.33203125" style="12" customWidth="1"/>
    <col min="1536" max="1536" width="4.44140625" style="12" customWidth="1"/>
    <col min="1537" max="1537" width="13.88671875" style="12" customWidth="1"/>
    <col min="1538" max="1777" width="9.109375" style="12"/>
    <col min="1778" max="1778" width="1.88671875" style="12" customWidth="1"/>
    <col min="1779" max="1779" width="2.6640625" style="12" customWidth="1"/>
    <col min="1780" max="1780" width="17.6640625" style="12" customWidth="1"/>
    <col min="1781" max="1781" width="3.109375" style="12" customWidth="1"/>
    <col min="1782" max="1782" width="9.5546875" style="12" customWidth="1"/>
    <col min="1783" max="1783" width="10.5546875" style="12" customWidth="1"/>
    <col min="1784" max="1784" width="10.88671875" style="12" customWidth="1"/>
    <col min="1785" max="1786" width="9.109375" style="12"/>
    <col min="1787" max="1787" width="23.5546875" style="12" customWidth="1"/>
    <col min="1788" max="1788" width="3.33203125" style="12" customWidth="1"/>
    <col min="1789" max="1789" width="9" style="12" customWidth="1"/>
    <col min="1790" max="1790" width="1" style="12" customWidth="1"/>
    <col min="1791" max="1791" width="9.33203125" style="12" customWidth="1"/>
    <col min="1792" max="1792" width="4.44140625" style="12" customWidth="1"/>
    <col min="1793" max="1793" width="13.88671875" style="12" customWidth="1"/>
    <col min="1794" max="2033" width="9.109375" style="12"/>
    <col min="2034" max="2034" width="1.88671875" style="12" customWidth="1"/>
    <col min="2035" max="2035" width="2.6640625" style="12" customWidth="1"/>
    <col min="2036" max="2036" width="17.6640625" style="12" customWidth="1"/>
    <col min="2037" max="2037" width="3.109375" style="12" customWidth="1"/>
    <col min="2038" max="2038" width="9.5546875" style="12" customWidth="1"/>
    <col min="2039" max="2039" width="10.5546875" style="12" customWidth="1"/>
    <col min="2040" max="2040" width="10.88671875" style="12" customWidth="1"/>
    <col min="2041" max="2042" width="9.109375" style="12"/>
    <col min="2043" max="2043" width="23.5546875" style="12" customWidth="1"/>
    <col min="2044" max="2044" width="3.33203125" style="12" customWidth="1"/>
    <col min="2045" max="2045" width="9" style="12" customWidth="1"/>
    <col min="2046" max="2046" width="1" style="12" customWidth="1"/>
    <col min="2047" max="2047" width="9.33203125" style="12" customWidth="1"/>
    <col min="2048" max="2048" width="4.44140625" style="12" customWidth="1"/>
    <col min="2049" max="2049" width="13.88671875" style="12" customWidth="1"/>
    <col min="2050" max="2289" width="9.109375" style="12"/>
    <col min="2290" max="2290" width="1.88671875" style="12" customWidth="1"/>
    <col min="2291" max="2291" width="2.6640625" style="12" customWidth="1"/>
    <col min="2292" max="2292" width="17.6640625" style="12" customWidth="1"/>
    <col min="2293" max="2293" width="3.109375" style="12" customWidth="1"/>
    <col min="2294" max="2294" width="9.5546875" style="12" customWidth="1"/>
    <col min="2295" max="2295" width="10.5546875" style="12" customWidth="1"/>
    <col min="2296" max="2296" width="10.88671875" style="12" customWidth="1"/>
    <col min="2297" max="2298" width="9.109375" style="12"/>
    <col min="2299" max="2299" width="23.5546875" style="12" customWidth="1"/>
    <col min="2300" max="2300" width="3.33203125" style="12" customWidth="1"/>
    <col min="2301" max="2301" width="9" style="12" customWidth="1"/>
    <col min="2302" max="2302" width="1" style="12" customWidth="1"/>
    <col min="2303" max="2303" width="9.33203125" style="12" customWidth="1"/>
    <col min="2304" max="2304" width="4.44140625" style="12" customWidth="1"/>
    <col min="2305" max="2305" width="13.88671875" style="12" customWidth="1"/>
    <col min="2306" max="2545" width="9.109375" style="12"/>
    <col min="2546" max="2546" width="1.88671875" style="12" customWidth="1"/>
    <col min="2547" max="2547" width="2.6640625" style="12" customWidth="1"/>
    <col min="2548" max="2548" width="17.6640625" style="12" customWidth="1"/>
    <col min="2549" max="2549" width="3.109375" style="12" customWidth="1"/>
    <col min="2550" max="2550" width="9.5546875" style="12" customWidth="1"/>
    <col min="2551" max="2551" width="10.5546875" style="12" customWidth="1"/>
    <col min="2552" max="2552" width="10.88671875" style="12" customWidth="1"/>
    <col min="2553" max="2554" width="9.109375" style="12"/>
    <col min="2555" max="2555" width="23.5546875" style="12" customWidth="1"/>
    <col min="2556" max="2556" width="3.33203125" style="12" customWidth="1"/>
    <col min="2557" max="2557" width="9" style="12" customWidth="1"/>
    <col min="2558" max="2558" width="1" style="12" customWidth="1"/>
    <col min="2559" max="2559" width="9.33203125" style="12" customWidth="1"/>
    <col min="2560" max="2560" width="4.44140625" style="12" customWidth="1"/>
    <col min="2561" max="2561" width="13.88671875" style="12" customWidth="1"/>
    <col min="2562" max="2801" width="9.109375" style="12"/>
    <col min="2802" max="2802" width="1.88671875" style="12" customWidth="1"/>
    <col min="2803" max="2803" width="2.6640625" style="12" customWidth="1"/>
    <col min="2804" max="2804" width="17.6640625" style="12" customWidth="1"/>
    <col min="2805" max="2805" width="3.109375" style="12" customWidth="1"/>
    <col min="2806" max="2806" width="9.5546875" style="12" customWidth="1"/>
    <col min="2807" max="2807" width="10.5546875" style="12" customWidth="1"/>
    <col min="2808" max="2808" width="10.88671875" style="12" customWidth="1"/>
    <col min="2809" max="2810" width="9.109375" style="12"/>
    <col min="2811" max="2811" width="23.5546875" style="12" customWidth="1"/>
    <col min="2812" max="2812" width="3.33203125" style="12" customWidth="1"/>
    <col min="2813" max="2813" width="9" style="12" customWidth="1"/>
    <col min="2814" max="2814" width="1" style="12" customWidth="1"/>
    <col min="2815" max="2815" width="9.33203125" style="12" customWidth="1"/>
    <col min="2816" max="2816" width="4.44140625" style="12" customWidth="1"/>
    <col min="2817" max="2817" width="13.88671875" style="12" customWidth="1"/>
    <col min="2818" max="3057" width="9.109375" style="12"/>
    <col min="3058" max="3058" width="1.88671875" style="12" customWidth="1"/>
    <col min="3059" max="3059" width="2.6640625" style="12" customWidth="1"/>
    <col min="3060" max="3060" width="17.6640625" style="12" customWidth="1"/>
    <col min="3061" max="3061" width="3.109375" style="12" customWidth="1"/>
    <col min="3062" max="3062" width="9.5546875" style="12" customWidth="1"/>
    <col min="3063" max="3063" width="10.5546875" style="12" customWidth="1"/>
    <col min="3064" max="3064" width="10.88671875" style="12" customWidth="1"/>
    <col min="3065" max="3066" width="9.109375" style="12"/>
    <col min="3067" max="3067" width="23.5546875" style="12" customWidth="1"/>
    <col min="3068" max="3068" width="3.33203125" style="12" customWidth="1"/>
    <col min="3069" max="3069" width="9" style="12" customWidth="1"/>
    <col min="3070" max="3070" width="1" style="12" customWidth="1"/>
    <col min="3071" max="3071" width="9.33203125" style="12" customWidth="1"/>
    <col min="3072" max="3072" width="4.44140625" style="12" customWidth="1"/>
    <col min="3073" max="3073" width="13.88671875" style="12" customWidth="1"/>
    <col min="3074" max="3313" width="9.109375" style="12"/>
    <col min="3314" max="3314" width="1.88671875" style="12" customWidth="1"/>
    <col min="3315" max="3315" width="2.6640625" style="12" customWidth="1"/>
    <col min="3316" max="3316" width="17.6640625" style="12" customWidth="1"/>
    <col min="3317" max="3317" width="3.109375" style="12" customWidth="1"/>
    <col min="3318" max="3318" width="9.5546875" style="12" customWidth="1"/>
    <col min="3319" max="3319" width="10.5546875" style="12" customWidth="1"/>
    <col min="3320" max="3320" width="10.88671875" style="12" customWidth="1"/>
    <col min="3321" max="3322" width="9.109375" style="12"/>
    <col min="3323" max="3323" width="23.5546875" style="12" customWidth="1"/>
    <col min="3324" max="3324" width="3.33203125" style="12" customWidth="1"/>
    <col min="3325" max="3325" width="9" style="12" customWidth="1"/>
    <col min="3326" max="3326" width="1" style="12" customWidth="1"/>
    <col min="3327" max="3327" width="9.33203125" style="12" customWidth="1"/>
    <col min="3328" max="3328" width="4.44140625" style="12" customWidth="1"/>
    <col min="3329" max="3329" width="13.88671875" style="12" customWidth="1"/>
    <col min="3330" max="3569" width="9.109375" style="12"/>
    <col min="3570" max="3570" width="1.88671875" style="12" customWidth="1"/>
    <col min="3571" max="3571" width="2.6640625" style="12" customWidth="1"/>
    <col min="3572" max="3572" width="17.6640625" style="12" customWidth="1"/>
    <col min="3573" max="3573" width="3.109375" style="12" customWidth="1"/>
    <col min="3574" max="3574" width="9.5546875" style="12" customWidth="1"/>
    <col min="3575" max="3575" width="10.5546875" style="12" customWidth="1"/>
    <col min="3576" max="3576" width="10.88671875" style="12" customWidth="1"/>
    <col min="3577" max="3578" width="9.109375" style="12"/>
    <col min="3579" max="3579" width="23.5546875" style="12" customWidth="1"/>
    <col min="3580" max="3580" width="3.33203125" style="12" customWidth="1"/>
    <col min="3581" max="3581" width="9" style="12" customWidth="1"/>
    <col min="3582" max="3582" width="1" style="12" customWidth="1"/>
    <col min="3583" max="3583" width="9.33203125" style="12" customWidth="1"/>
    <col min="3584" max="3584" width="4.44140625" style="12" customWidth="1"/>
    <col min="3585" max="3585" width="13.88671875" style="12" customWidth="1"/>
    <col min="3586" max="3825" width="9.109375" style="12"/>
    <col min="3826" max="3826" width="1.88671875" style="12" customWidth="1"/>
    <col min="3827" max="3827" width="2.6640625" style="12" customWidth="1"/>
    <col min="3828" max="3828" width="17.6640625" style="12" customWidth="1"/>
    <col min="3829" max="3829" width="3.109375" style="12" customWidth="1"/>
    <col min="3830" max="3830" width="9.5546875" style="12" customWidth="1"/>
    <col min="3831" max="3831" width="10.5546875" style="12" customWidth="1"/>
    <col min="3832" max="3832" width="10.88671875" style="12" customWidth="1"/>
    <col min="3833" max="3834" width="9.109375" style="12"/>
    <col min="3835" max="3835" width="23.5546875" style="12" customWidth="1"/>
    <col min="3836" max="3836" width="3.33203125" style="12" customWidth="1"/>
    <col min="3837" max="3837" width="9" style="12" customWidth="1"/>
    <col min="3838" max="3838" width="1" style="12" customWidth="1"/>
    <col min="3839" max="3839" width="9.33203125" style="12" customWidth="1"/>
    <col min="3840" max="3840" width="4.44140625" style="12" customWidth="1"/>
    <col min="3841" max="3841" width="13.88671875" style="12" customWidth="1"/>
    <col min="3842" max="4081" width="9.109375" style="12"/>
    <col min="4082" max="4082" width="1.88671875" style="12" customWidth="1"/>
    <col min="4083" max="4083" width="2.6640625" style="12" customWidth="1"/>
    <col min="4084" max="4084" width="17.6640625" style="12" customWidth="1"/>
    <col min="4085" max="4085" width="3.109375" style="12" customWidth="1"/>
    <col min="4086" max="4086" width="9.5546875" style="12" customWidth="1"/>
    <col min="4087" max="4087" width="10.5546875" style="12" customWidth="1"/>
    <col min="4088" max="4088" width="10.88671875" style="12" customWidth="1"/>
    <col min="4089" max="4090" width="9.109375" style="12"/>
    <col min="4091" max="4091" width="23.5546875" style="12" customWidth="1"/>
    <col min="4092" max="4092" width="3.33203125" style="12" customWidth="1"/>
    <col min="4093" max="4093" width="9" style="12" customWidth="1"/>
    <col min="4094" max="4094" width="1" style="12" customWidth="1"/>
    <col min="4095" max="4095" width="9.33203125" style="12" customWidth="1"/>
    <col min="4096" max="4096" width="4.44140625" style="12" customWidth="1"/>
    <col min="4097" max="4097" width="13.88671875" style="12" customWidth="1"/>
    <col min="4098" max="4337" width="9.109375" style="12"/>
    <col min="4338" max="4338" width="1.88671875" style="12" customWidth="1"/>
    <col min="4339" max="4339" width="2.6640625" style="12" customWidth="1"/>
    <col min="4340" max="4340" width="17.6640625" style="12" customWidth="1"/>
    <col min="4341" max="4341" width="3.109375" style="12" customWidth="1"/>
    <col min="4342" max="4342" width="9.5546875" style="12" customWidth="1"/>
    <col min="4343" max="4343" width="10.5546875" style="12" customWidth="1"/>
    <col min="4344" max="4344" width="10.88671875" style="12" customWidth="1"/>
    <col min="4345" max="4346" width="9.109375" style="12"/>
    <col min="4347" max="4347" width="23.5546875" style="12" customWidth="1"/>
    <col min="4348" max="4348" width="3.33203125" style="12" customWidth="1"/>
    <col min="4349" max="4349" width="9" style="12" customWidth="1"/>
    <col min="4350" max="4350" width="1" style="12" customWidth="1"/>
    <col min="4351" max="4351" width="9.33203125" style="12" customWidth="1"/>
    <col min="4352" max="4352" width="4.44140625" style="12" customWidth="1"/>
    <col min="4353" max="4353" width="13.88671875" style="12" customWidth="1"/>
    <col min="4354" max="4593" width="9.109375" style="12"/>
    <col min="4594" max="4594" width="1.88671875" style="12" customWidth="1"/>
    <col min="4595" max="4595" width="2.6640625" style="12" customWidth="1"/>
    <col min="4596" max="4596" width="17.6640625" style="12" customWidth="1"/>
    <col min="4597" max="4597" width="3.109375" style="12" customWidth="1"/>
    <col min="4598" max="4598" width="9.5546875" style="12" customWidth="1"/>
    <col min="4599" max="4599" width="10.5546875" style="12" customWidth="1"/>
    <col min="4600" max="4600" width="10.88671875" style="12" customWidth="1"/>
    <col min="4601" max="4602" width="9.109375" style="12"/>
    <col min="4603" max="4603" width="23.5546875" style="12" customWidth="1"/>
    <col min="4604" max="4604" width="3.33203125" style="12" customWidth="1"/>
    <col min="4605" max="4605" width="9" style="12" customWidth="1"/>
    <col min="4606" max="4606" width="1" style="12" customWidth="1"/>
    <col min="4607" max="4607" width="9.33203125" style="12" customWidth="1"/>
    <col min="4608" max="4608" width="4.44140625" style="12" customWidth="1"/>
    <col min="4609" max="4609" width="13.88671875" style="12" customWidth="1"/>
    <col min="4610" max="4849" width="9.109375" style="12"/>
    <col min="4850" max="4850" width="1.88671875" style="12" customWidth="1"/>
    <col min="4851" max="4851" width="2.6640625" style="12" customWidth="1"/>
    <col min="4852" max="4852" width="17.6640625" style="12" customWidth="1"/>
    <col min="4853" max="4853" width="3.109375" style="12" customWidth="1"/>
    <col min="4854" max="4854" width="9.5546875" style="12" customWidth="1"/>
    <col min="4855" max="4855" width="10.5546875" style="12" customWidth="1"/>
    <col min="4856" max="4856" width="10.88671875" style="12" customWidth="1"/>
    <col min="4857" max="4858" width="9.109375" style="12"/>
    <col min="4859" max="4859" width="23.5546875" style="12" customWidth="1"/>
    <col min="4860" max="4860" width="3.33203125" style="12" customWidth="1"/>
    <col min="4861" max="4861" width="9" style="12" customWidth="1"/>
    <col min="4862" max="4862" width="1" style="12" customWidth="1"/>
    <col min="4863" max="4863" width="9.33203125" style="12" customWidth="1"/>
    <col min="4864" max="4864" width="4.44140625" style="12" customWidth="1"/>
    <col min="4865" max="4865" width="13.88671875" style="12" customWidth="1"/>
    <col min="4866" max="5105" width="9.109375" style="12"/>
    <col min="5106" max="5106" width="1.88671875" style="12" customWidth="1"/>
    <col min="5107" max="5107" width="2.6640625" style="12" customWidth="1"/>
    <col min="5108" max="5108" width="17.6640625" style="12" customWidth="1"/>
    <col min="5109" max="5109" width="3.109375" style="12" customWidth="1"/>
    <col min="5110" max="5110" width="9.5546875" style="12" customWidth="1"/>
    <col min="5111" max="5111" width="10.5546875" style="12" customWidth="1"/>
    <col min="5112" max="5112" width="10.88671875" style="12" customWidth="1"/>
    <col min="5113" max="5114" width="9.109375" style="12"/>
    <col min="5115" max="5115" width="23.5546875" style="12" customWidth="1"/>
    <col min="5116" max="5116" width="3.33203125" style="12" customWidth="1"/>
    <col min="5117" max="5117" width="9" style="12" customWidth="1"/>
    <col min="5118" max="5118" width="1" style="12" customWidth="1"/>
    <col min="5119" max="5119" width="9.33203125" style="12" customWidth="1"/>
    <col min="5120" max="5120" width="4.44140625" style="12" customWidth="1"/>
    <col min="5121" max="5121" width="13.88671875" style="12" customWidth="1"/>
    <col min="5122" max="5361" width="9.109375" style="12"/>
    <col min="5362" max="5362" width="1.88671875" style="12" customWidth="1"/>
    <col min="5363" max="5363" width="2.6640625" style="12" customWidth="1"/>
    <col min="5364" max="5364" width="17.6640625" style="12" customWidth="1"/>
    <col min="5365" max="5365" width="3.109375" style="12" customWidth="1"/>
    <col min="5366" max="5366" width="9.5546875" style="12" customWidth="1"/>
    <col min="5367" max="5367" width="10.5546875" style="12" customWidth="1"/>
    <col min="5368" max="5368" width="10.88671875" style="12" customWidth="1"/>
    <col min="5369" max="5370" width="9.109375" style="12"/>
    <col min="5371" max="5371" width="23.5546875" style="12" customWidth="1"/>
    <col min="5372" max="5372" width="3.33203125" style="12" customWidth="1"/>
    <col min="5373" max="5373" width="9" style="12" customWidth="1"/>
    <col min="5374" max="5374" width="1" style="12" customWidth="1"/>
    <col min="5375" max="5375" width="9.33203125" style="12" customWidth="1"/>
    <col min="5376" max="5376" width="4.44140625" style="12" customWidth="1"/>
    <col min="5377" max="5377" width="13.88671875" style="12" customWidth="1"/>
    <col min="5378" max="5617" width="9.109375" style="12"/>
    <col min="5618" max="5618" width="1.88671875" style="12" customWidth="1"/>
    <col min="5619" max="5619" width="2.6640625" style="12" customWidth="1"/>
    <col min="5620" max="5620" width="17.6640625" style="12" customWidth="1"/>
    <col min="5621" max="5621" width="3.109375" style="12" customWidth="1"/>
    <col min="5622" max="5622" width="9.5546875" style="12" customWidth="1"/>
    <col min="5623" max="5623" width="10.5546875" style="12" customWidth="1"/>
    <col min="5624" max="5624" width="10.88671875" style="12" customWidth="1"/>
    <col min="5625" max="5626" width="9.109375" style="12"/>
    <col min="5627" max="5627" width="23.5546875" style="12" customWidth="1"/>
    <col min="5628" max="5628" width="3.33203125" style="12" customWidth="1"/>
    <col min="5629" max="5629" width="9" style="12" customWidth="1"/>
    <col min="5630" max="5630" width="1" style="12" customWidth="1"/>
    <col min="5631" max="5631" width="9.33203125" style="12" customWidth="1"/>
    <col min="5632" max="5632" width="4.44140625" style="12" customWidth="1"/>
    <col min="5633" max="5633" width="13.88671875" style="12" customWidth="1"/>
    <col min="5634" max="5873" width="9.109375" style="12"/>
    <col min="5874" max="5874" width="1.88671875" style="12" customWidth="1"/>
    <col min="5875" max="5875" width="2.6640625" style="12" customWidth="1"/>
    <col min="5876" max="5876" width="17.6640625" style="12" customWidth="1"/>
    <col min="5877" max="5877" width="3.109375" style="12" customWidth="1"/>
    <col min="5878" max="5878" width="9.5546875" style="12" customWidth="1"/>
    <col min="5879" max="5879" width="10.5546875" style="12" customWidth="1"/>
    <col min="5880" max="5880" width="10.88671875" style="12" customWidth="1"/>
    <col min="5881" max="5882" width="9.109375" style="12"/>
    <col min="5883" max="5883" width="23.5546875" style="12" customWidth="1"/>
    <col min="5884" max="5884" width="3.33203125" style="12" customWidth="1"/>
    <col min="5885" max="5885" width="9" style="12" customWidth="1"/>
    <col min="5886" max="5886" width="1" style="12" customWidth="1"/>
    <col min="5887" max="5887" width="9.33203125" style="12" customWidth="1"/>
    <col min="5888" max="5888" width="4.44140625" style="12" customWidth="1"/>
    <col min="5889" max="5889" width="13.88671875" style="12" customWidth="1"/>
    <col min="5890" max="6129" width="9.109375" style="12"/>
    <col min="6130" max="6130" width="1.88671875" style="12" customWidth="1"/>
    <col min="6131" max="6131" width="2.6640625" style="12" customWidth="1"/>
    <col min="6132" max="6132" width="17.6640625" style="12" customWidth="1"/>
    <col min="6133" max="6133" width="3.109375" style="12" customWidth="1"/>
    <col min="6134" max="6134" width="9.5546875" style="12" customWidth="1"/>
    <col min="6135" max="6135" width="10.5546875" style="12" customWidth="1"/>
    <col min="6136" max="6136" width="10.88671875" style="12" customWidth="1"/>
    <col min="6137" max="6138" width="9.109375" style="12"/>
    <col min="6139" max="6139" width="23.5546875" style="12" customWidth="1"/>
    <col min="6140" max="6140" width="3.33203125" style="12" customWidth="1"/>
    <col min="6141" max="6141" width="9" style="12" customWidth="1"/>
    <col min="6142" max="6142" width="1" style="12" customWidth="1"/>
    <col min="6143" max="6143" width="9.33203125" style="12" customWidth="1"/>
    <col min="6144" max="6144" width="4.44140625" style="12" customWidth="1"/>
    <col min="6145" max="6145" width="13.88671875" style="12" customWidth="1"/>
    <col min="6146" max="6385" width="9.109375" style="12"/>
    <col min="6386" max="6386" width="1.88671875" style="12" customWidth="1"/>
    <col min="6387" max="6387" width="2.6640625" style="12" customWidth="1"/>
    <col min="6388" max="6388" width="17.6640625" style="12" customWidth="1"/>
    <col min="6389" max="6389" width="3.109375" style="12" customWidth="1"/>
    <col min="6390" max="6390" width="9.5546875" style="12" customWidth="1"/>
    <col min="6391" max="6391" width="10.5546875" style="12" customWidth="1"/>
    <col min="6392" max="6392" width="10.88671875" style="12" customWidth="1"/>
    <col min="6393" max="6394" width="9.109375" style="12"/>
    <col min="6395" max="6395" width="23.5546875" style="12" customWidth="1"/>
    <col min="6396" max="6396" width="3.33203125" style="12" customWidth="1"/>
    <col min="6397" max="6397" width="9" style="12" customWidth="1"/>
    <col min="6398" max="6398" width="1" style="12" customWidth="1"/>
    <col min="6399" max="6399" width="9.33203125" style="12" customWidth="1"/>
    <col min="6400" max="6400" width="4.44140625" style="12" customWidth="1"/>
    <col min="6401" max="6401" width="13.88671875" style="12" customWidth="1"/>
    <col min="6402" max="6641" width="9.109375" style="12"/>
    <col min="6642" max="6642" width="1.88671875" style="12" customWidth="1"/>
    <col min="6643" max="6643" width="2.6640625" style="12" customWidth="1"/>
    <col min="6644" max="6644" width="17.6640625" style="12" customWidth="1"/>
    <col min="6645" max="6645" width="3.109375" style="12" customWidth="1"/>
    <col min="6646" max="6646" width="9.5546875" style="12" customWidth="1"/>
    <col min="6647" max="6647" width="10.5546875" style="12" customWidth="1"/>
    <col min="6648" max="6648" width="10.88671875" style="12" customWidth="1"/>
    <col min="6649" max="6650" width="9.109375" style="12"/>
    <col min="6651" max="6651" width="23.5546875" style="12" customWidth="1"/>
    <col min="6652" max="6652" width="3.33203125" style="12" customWidth="1"/>
    <col min="6653" max="6653" width="9" style="12" customWidth="1"/>
    <col min="6654" max="6654" width="1" style="12" customWidth="1"/>
    <col min="6655" max="6655" width="9.33203125" style="12" customWidth="1"/>
    <col min="6656" max="6656" width="4.44140625" style="12" customWidth="1"/>
    <col min="6657" max="6657" width="13.88671875" style="12" customWidth="1"/>
    <col min="6658" max="6897" width="9.109375" style="12"/>
    <col min="6898" max="6898" width="1.88671875" style="12" customWidth="1"/>
    <col min="6899" max="6899" width="2.6640625" style="12" customWidth="1"/>
    <col min="6900" max="6900" width="17.6640625" style="12" customWidth="1"/>
    <col min="6901" max="6901" width="3.109375" style="12" customWidth="1"/>
    <col min="6902" max="6902" width="9.5546875" style="12" customWidth="1"/>
    <col min="6903" max="6903" width="10.5546875" style="12" customWidth="1"/>
    <col min="6904" max="6904" width="10.88671875" style="12" customWidth="1"/>
    <col min="6905" max="6906" width="9.109375" style="12"/>
    <col min="6907" max="6907" width="23.5546875" style="12" customWidth="1"/>
    <col min="6908" max="6908" width="3.33203125" style="12" customWidth="1"/>
    <col min="6909" max="6909" width="9" style="12" customWidth="1"/>
    <col min="6910" max="6910" width="1" style="12" customWidth="1"/>
    <col min="6911" max="6911" width="9.33203125" style="12" customWidth="1"/>
    <col min="6912" max="6912" width="4.44140625" style="12" customWidth="1"/>
    <col min="6913" max="6913" width="13.88671875" style="12" customWidth="1"/>
    <col min="6914" max="7153" width="9.109375" style="12"/>
    <col min="7154" max="7154" width="1.88671875" style="12" customWidth="1"/>
    <col min="7155" max="7155" width="2.6640625" style="12" customWidth="1"/>
    <col min="7156" max="7156" width="17.6640625" style="12" customWidth="1"/>
    <col min="7157" max="7157" width="3.109375" style="12" customWidth="1"/>
    <col min="7158" max="7158" width="9.5546875" style="12" customWidth="1"/>
    <col min="7159" max="7159" width="10.5546875" style="12" customWidth="1"/>
    <col min="7160" max="7160" width="10.88671875" style="12" customWidth="1"/>
    <col min="7161" max="7162" width="9.109375" style="12"/>
    <col min="7163" max="7163" width="23.5546875" style="12" customWidth="1"/>
    <col min="7164" max="7164" width="3.33203125" style="12" customWidth="1"/>
    <col min="7165" max="7165" width="9" style="12" customWidth="1"/>
    <col min="7166" max="7166" width="1" style="12" customWidth="1"/>
    <col min="7167" max="7167" width="9.33203125" style="12" customWidth="1"/>
    <col min="7168" max="7168" width="4.44140625" style="12" customWidth="1"/>
    <col min="7169" max="7169" width="13.88671875" style="12" customWidth="1"/>
    <col min="7170" max="7409" width="9.109375" style="12"/>
    <col min="7410" max="7410" width="1.88671875" style="12" customWidth="1"/>
    <col min="7411" max="7411" width="2.6640625" style="12" customWidth="1"/>
    <col min="7412" max="7412" width="17.6640625" style="12" customWidth="1"/>
    <col min="7413" max="7413" width="3.109375" style="12" customWidth="1"/>
    <col min="7414" max="7414" width="9.5546875" style="12" customWidth="1"/>
    <col min="7415" max="7415" width="10.5546875" style="12" customWidth="1"/>
    <col min="7416" max="7416" width="10.88671875" style="12" customWidth="1"/>
    <col min="7417" max="7418" width="9.109375" style="12"/>
    <col min="7419" max="7419" width="23.5546875" style="12" customWidth="1"/>
    <col min="7420" max="7420" width="3.33203125" style="12" customWidth="1"/>
    <col min="7421" max="7421" width="9" style="12" customWidth="1"/>
    <col min="7422" max="7422" width="1" style="12" customWidth="1"/>
    <col min="7423" max="7423" width="9.33203125" style="12" customWidth="1"/>
    <col min="7424" max="7424" width="4.44140625" style="12" customWidth="1"/>
    <col min="7425" max="7425" width="13.88671875" style="12" customWidth="1"/>
    <col min="7426" max="7665" width="9.109375" style="12"/>
    <col min="7666" max="7666" width="1.88671875" style="12" customWidth="1"/>
    <col min="7667" max="7667" width="2.6640625" style="12" customWidth="1"/>
    <col min="7668" max="7668" width="17.6640625" style="12" customWidth="1"/>
    <col min="7669" max="7669" width="3.109375" style="12" customWidth="1"/>
    <col min="7670" max="7670" width="9.5546875" style="12" customWidth="1"/>
    <col min="7671" max="7671" width="10.5546875" style="12" customWidth="1"/>
    <col min="7672" max="7672" width="10.88671875" style="12" customWidth="1"/>
    <col min="7673" max="7674" width="9.109375" style="12"/>
    <col min="7675" max="7675" width="23.5546875" style="12" customWidth="1"/>
    <col min="7676" max="7676" width="3.33203125" style="12" customWidth="1"/>
    <col min="7677" max="7677" width="9" style="12" customWidth="1"/>
    <col min="7678" max="7678" width="1" style="12" customWidth="1"/>
    <col min="7679" max="7679" width="9.33203125" style="12" customWidth="1"/>
    <col min="7680" max="7680" width="4.44140625" style="12" customWidth="1"/>
    <col min="7681" max="7681" width="13.88671875" style="12" customWidth="1"/>
    <col min="7682" max="7921" width="9.109375" style="12"/>
    <col min="7922" max="7922" width="1.88671875" style="12" customWidth="1"/>
    <col min="7923" max="7923" width="2.6640625" style="12" customWidth="1"/>
    <col min="7924" max="7924" width="17.6640625" style="12" customWidth="1"/>
    <col min="7925" max="7925" width="3.109375" style="12" customWidth="1"/>
    <col min="7926" max="7926" width="9.5546875" style="12" customWidth="1"/>
    <col min="7927" max="7927" width="10.5546875" style="12" customWidth="1"/>
    <col min="7928" max="7928" width="10.88671875" style="12" customWidth="1"/>
    <col min="7929" max="7930" width="9.109375" style="12"/>
    <col min="7931" max="7931" width="23.5546875" style="12" customWidth="1"/>
    <col min="7932" max="7932" width="3.33203125" style="12" customWidth="1"/>
    <col min="7933" max="7933" width="9" style="12" customWidth="1"/>
    <col min="7934" max="7934" width="1" style="12" customWidth="1"/>
    <col min="7935" max="7935" width="9.33203125" style="12" customWidth="1"/>
    <col min="7936" max="7936" width="4.44140625" style="12" customWidth="1"/>
    <col min="7937" max="7937" width="13.88671875" style="12" customWidth="1"/>
    <col min="7938" max="8177" width="9.109375" style="12"/>
    <col min="8178" max="8178" width="1.88671875" style="12" customWidth="1"/>
    <col min="8179" max="8179" width="2.6640625" style="12" customWidth="1"/>
    <col min="8180" max="8180" width="17.6640625" style="12" customWidth="1"/>
    <col min="8181" max="8181" width="3.109375" style="12" customWidth="1"/>
    <col min="8182" max="8182" width="9.5546875" style="12" customWidth="1"/>
    <col min="8183" max="8183" width="10.5546875" style="12" customWidth="1"/>
    <col min="8184" max="8184" width="10.88671875" style="12" customWidth="1"/>
    <col min="8185" max="8186" width="9.109375" style="12"/>
    <col min="8187" max="8187" width="23.5546875" style="12" customWidth="1"/>
    <col min="8188" max="8188" width="3.33203125" style="12" customWidth="1"/>
    <col min="8189" max="8189" width="9" style="12" customWidth="1"/>
    <col min="8190" max="8190" width="1" style="12" customWidth="1"/>
    <col min="8191" max="8191" width="9.33203125" style="12" customWidth="1"/>
    <col min="8192" max="8192" width="4.44140625" style="12" customWidth="1"/>
    <col min="8193" max="8193" width="13.88671875" style="12" customWidth="1"/>
    <col min="8194" max="8433" width="9.109375" style="12"/>
    <col min="8434" max="8434" width="1.88671875" style="12" customWidth="1"/>
    <col min="8435" max="8435" width="2.6640625" style="12" customWidth="1"/>
    <col min="8436" max="8436" width="17.6640625" style="12" customWidth="1"/>
    <col min="8437" max="8437" width="3.109375" style="12" customWidth="1"/>
    <col min="8438" max="8438" width="9.5546875" style="12" customWidth="1"/>
    <col min="8439" max="8439" width="10.5546875" style="12" customWidth="1"/>
    <col min="8440" max="8440" width="10.88671875" style="12" customWidth="1"/>
    <col min="8441" max="8442" width="9.109375" style="12"/>
    <col min="8443" max="8443" width="23.5546875" style="12" customWidth="1"/>
    <col min="8444" max="8444" width="3.33203125" style="12" customWidth="1"/>
    <col min="8445" max="8445" width="9" style="12" customWidth="1"/>
    <col min="8446" max="8446" width="1" style="12" customWidth="1"/>
    <col min="8447" max="8447" width="9.33203125" style="12" customWidth="1"/>
    <col min="8448" max="8448" width="4.44140625" style="12" customWidth="1"/>
    <col min="8449" max="8449" width="13.88671875" style="12" customWidth="1"/>
    <col min="8450" max="8689" width="9.109375" style="12"/>
    <col min="8690" max="8690" width="1.88671875" style="12" customWidth="1"/>
    <col min="8691" max="8691" width="2.6640625" style="12" customWidth="1"/>
    <col min="8692" max="8692" width="17.6640625" style="12" customWidth="1"/>
    <col min="8693" max="8693" width="3.109375" style="12" customWidth="1"/>
    <col min="8694" max="8694" width="9.5546875" style="12" customWidth="1"/>
    <col min="8695" max="8695" width="10.5546875" style="12" customWidth="1"/>
    <col min="8696" max="8696" width="10.88671875" style="12" customWidth="1"/>
    <col min="8697" max="8698" width="9.109375" style="12"/>
    <col min="8699" max="8699" width="23.5546875" style="12" customWidth="1"/>
    <col min="8700" max="8700" width="3.33203125" style="12" customWidth="1"/>
    <col min="8701" max="8701" width="9" style="12" customWidth="1"/>
    <col min="8702" max="8702" width="1" style="12" customWidth="1"/>
    <col min="8703" max="8703" width="9.33203125" style="12" customWidth="1"/>
    <col min="8704" max="8704" width="4.44140625" style="12" customWidth="1"/>
    <col min="8705" max="8705" width="13.88671875" style="12" customWidth="1"/>
    <col min="8706" max="8945" width="9.109375" style="12"/>
    <col min="8946" max="8946" width="1.88671875" style="12" customWidth="1"/>
    <col min="8947" max="8947" width="2.6640625" style="12" customWidth="1"/>
    <col min="8948" max="8948" width="17.6640625" style="12" customWidth="1"/>
    <col min="8949" max="8949" width="3.109375" style="12" customWidth="1"/>
    <col min="8950" max="8950" width="9.5546875" style="12" customWidth="1"/>
    <col min="8951" max="8951" width="10.5546875" style="12" customWidth="1"/>
    <col min="8952" max="8952" width="10.88671875" style="12" customWidth="1"/>
    <col min="8953" max="8954" width="9.109375" style="12"/>
    <col min="8955" max="8955" width="23.5546875" style="12" customWidth="1"/>
    <col min="8956" max="8956" width="3.33203125" style="12" customWidth="1"/>
    <col min="8957" max="8957" width="9" style="12" customWidth="1"/>
    <col min="8958" max="8958" width="1" style="12" customWidth="1"/>
    <col min="8959" max="8959" width="9.33203125" style="12" customWidth="1"/>
    <col min="8960" max="8960" width="4.44140625" style="12" customWidth="1"/>
    <col min="8961" max="8961" width="13.88671875" style="12" customWidth="1"/>
    <col min="8962" max="9201" width="9.109375" style="12"/>
    <col min="9202" max="9202" width="1.88671875" style="12" customWidth="1"/>
    <col min="9203" max="9203" width="2.6640625" style="12" customWidth="1"/>
    <col min="9204" max="9204" width="17.6640625" style="12" customWidth="1"/>
    <col min="9205" max="9205" width="3.109375" style="12" customWidth="1"/>
    <col min="9206" max="9206" width="9.5546875" style="12" customWidth="1"/>
    <col min="9207" max="9207" width="10.5546875" style="12" customWidth="1"/>
    <col min="9208" max="9208" width="10.88671875" style="12" customWidth="1"/>
    <col min="9209" max="9210" width="9.109375" style="12"/>
    <col min="9211" max="9211" width="23.5546875" style="12" customWidth="1"/>
    <col min="9212" max="9212" width="3.33203125" style="12" customWidth="1"/>
    <col min="9213" max="9213" width="9" style="12" customWidth="1"/>
    <col min="9214" max="9214" width="1" style="12" customWidth="1"/>
    <col min="9215" max="9215" width="9.33203125" style="12" customWidth="1"/>
    <col min="9216" max="9216" width="4.44140625" style="12" customWidth="1"/>
    <col min="9217" max="9217" width="13.88671875" style="12" customWidth="1"/>
    <col min="9218" max="9457" width="9.109375" style="12"/>
    <col min="9458" max="9458" width="1.88671875" style="12" customWidth="1"/>
    <col min="9459" max="9459" width="2.6640625" style="12" customWidth="1"/>
    <col min="9460" max="9460" width="17.6640625" style="12" customWidth="1"/>
    <col min="9461" max="9461" width="3.109375" style="12" customWidth="1"/>
    <col min="9462" max="9462" width="9.5546875" style="12" customWidth="1"/>
    <col min="9463" max="9463" width="10.5546875" style="12" customWidth="1"/>
    <col min="9464" max="9464" width="10.88671875" style="12" customWidth="1"/>
    <col min="9465" max="9466" width="9.109375" style="12"/>
    <col min="9467" max="9467" width="23.5546875" style="12" customWidth="1"/>
    <col min="9468" max="9468" width="3.33203125" style="12" customWidth="1"/>
    <col min="9469" max="9469" width="9" style="12" customWidth="1"/>
    <col min="9470" max="9470" width="1" style="12" customWidth="1"/>
    <col min="9471" max="9471" width="9.33203125" style="12" customWidth="1"/>
    <col min="9472" max="9472" width="4.44140625" style="12" customWidth="1"/>
    <col min="9473" max="9473" width="13.88671875" style="12" customWidth="1"/>
    <col min="9474" max="9713" width="9.109375" style="12"/>
    <col min="9714" max="9714" width="1.88671875" style="12" customWidth="1"/>
    <col min="9715" max="9715" width="2.6640625" style="12" customWidth="1"/>
    <col min="9716" max="9716" width="17.6640625" style="12" customWidth="1"/>
    <col min="9717" max="9717" width="3.109375" style="12" customWidth="1"/>
    <col min="9718" max="9718" width="9.5546875" style="12" customWidth="1"/>
    <col min="9719" max="9719" width="10.5546875" style="12" customWidth="1"/>
    <col min="9720" max="9720" width="10.88671875" style="12" customWidth="1"/>
    <col min="9721" max="9722" width="9.109375" style="12"/>
    <col min="9723" max="9723" width="23.5546875" style="12" customWidth="1"/>
    <col min="9724" max="9724" width="3.33203125" style="12" customWidth="1"/>
    <col min="9725" max="9725" width="9" style="12" customWidth="1"/>
    <col min="9726" max="9726" width="1" style="12" customWidth="1"/>
    <col min="9727" max="9727" width="9.33203125" style="12" customWidth="1"/>
    <col min="9728" max="9728" width="4.44140625" style="12" customWidth="1"/>
    <col min="9729" max="9729" width="13.88671875" style="12" customWidth="1"/>
    <col min="9730" max="9969" width="9.109375" style="12"/>
    <col min="9970" max="9970" width="1.88671875" style="12" customWidth="1"/>
    <col min="9971" max="9971" width="2.6640625" style="12" customWidth="1"/>
    <col min="9972" max="9972" width="17.6640625" style="12" customWidth="1"/>
    <col min="9973" max="9973" width="3.109375" style="12" customWidth="1"/>
    <col min="9974" max="9974" width="9.5546875" style="12" customWidth="1"/>
    <col min="9975" max="9975" width="10.5546875" style="12" customWidth="1"/>
    <col min="9976" max="9976" width="10.88671875" style="12" customWidth="1"/>
    <col min="9977" max="9978" width="9.109375" style="12"/>
    <col min="9979" max="9979" width="23.5546875" style="12" customWidth="1"/>
    <col min="9980" max="9980" width="3.33203125" style="12" customWidth="1"/>
    <col min="9981" max="9981" width="9" style="12" customWidth="1"/>
    <col min="9982" max="9982" width="1" style="12" customWidth="1"/>
    <col min="9983" max="9983" width="9.33203125" style="12" customWidth="1"/>
    <col min="9984" max="9984" width="4.44140625" style="12" customWidth="1"/>
    <col min="9985" max="9985" width="13.88671875" style="12" customWidth="1"/>
    <col min="9986" max="10225" width="9.109375" style="12"/>
    <col min="10226" max="10226" width="1.88671875" style="12" customWidth="1"/>
    <col min="10227" max="10227" width="2.6640625" style="12" customWidth="1"/>
    <col min="10228" max="10228" width="17.6640625" style="12" customWidth="1"/>
    <col min="10229" max="10229" width="3.109375" style="12" customWidth="1"/>
    <col min="10230" max="10230" width="9.5546875" style="12" customWidth="1"/>
    <col min="10231" max="10231" width="10.5546875" style="12" customWidth="1"/>
    <col min="10232" max="10232" width="10.88671875" style="12" customWidth="1"/>
    <col min="10233" max="10234" width="9.109375" style="12"/>
    <col min="10235" max="10235" width="23.5546875" style="12" customWidth="1"/>
    <col min="10236" max="10236" width="3.33203125" style="12" customWidth="1"/>
    <col min="10237" max="10237" width="9" style="12" customWidth="1"/>
    <col min="10238" max="10238" width="1" style="12" customWidth="1"/>
    <col min="10239" max="10239" width="9.33203125" style="12" customWidth="1"/>
    <col min="10240" max="10240" width="4.44140625" style="12" customWidth="1"/>
    <col min="10241" max="10241" width="13.88671875" style="12" customWidth="1"/>
    <col min="10242" max="10481" width="9.109375" style="12"/>
    <col min="10482" max="10482" width="1.88671875" style="12" customWidth="1"/>
    <col min="10483" max="10483" width="2.6640625" style="12" customWidth="1"/>
    <col min="10484" max="10484" width="17.6640625" style="12" customWidth="1"/>
    <col min="10485" max="10485" width="3.109375" style="12" customWidth="1"/>
    <col min="10486" max="10486" width="9.5546875" style="12" customWidth="1"/>
    <col min="10487" max="10487" width="10.5546875" style="12" customWidth="1"/>
    <col min="10488" max="10488" width="10.88671875" style="12" customWidth="1"/>
    <col min="10489" max="10490" width="9.109375" style="12"/>
    <col min="10491" max="10491" width="23.5546875" style="12" customWidth="1"/>
    <col min="10492" max="10492" width="3.33203125" style="12" customWidth="1"/>
    <col min="10493" max="10493" width="9" style="12" customWidth="1"/>
    <col min="10494" max="10494" width="1" style="12" customWidth="1"/>
    <col min="10495" max="10495" width="9.33203125" style="12" customWidth="1"/>
    <col min="10496" max="10496" width="4.44140625" style="12" customWidth="1"/>
    <col min="10497" max="10497" width="13.88671875" style="12" customWidth="1"/>
    <col min="10498" max="10737" width="9.109375" style="12"/>
    <col min="10738" max="10738" width="1.88671875" style="12" customWidth="1"/>
    <col min="10739" max="10739" width="2.6640625" style="12" customWidth="1"/>
    <col min="10740" max="10740" width="17.6640625" style="12" customWidth="1"/>
    <col min="10741" max="10741" width="3.109375" style="12" customWidth="1"/>
    <col min="10742" max="10742" width="9.5546875" style="12" customWidth="1"/>
    <col min="10743" max="10743" width="10.5546875" style="12" customWidth="1"/>
    <col min="10744" max="10744" width="10.88671875" style="12" customWidth="1"/>
    <col min="10745" max="10746" width="9.109375" style="12"/>
    <col min="10747" max="10747" width="23.5546875" style="12" customWidth="1"/>
    <col min="10748" max="10748" width="3.33203125" style="12" customWidth="1"/>
    <col min="10749" max="10749" width="9" style="12" customWidth="1"/>
    <col min="10750" max="10750" width="1" style="12" customWidth="1"/>
    <col min="10751" max="10751" width="9.33203125" style="12" customWidth="1"/>
    <col min="10752" max="10752" width="4.44140625" style="12" customWidth="1"/>
    <col min="10753" max="10753" width="13.88671875" style="12" customWidth="1"/>
    <col min="10754" max="10993" width="9.109375" style="12"/>
    <col min="10994" max="10994" width="1.88671875" style="12" customWidth="1"/>
    <col min="10995" max="10995" width="2.6640625" style="12" customWidth="1"/>
    <col min="10996" max="10996" width="17.6640625" style="12" customWidth="1"/>
    <col min="10997" max="10997" width="3.109375" style="12" customWidth="1"/>
    <col min="10998" max="10998" width="9.5546875" style="12" customWidth="1"/>
    <col min="10999" max="10999" width="10.5546875" style="12" customWidth="1"/>
    <col min="11000" max="11000" width="10.88671875" style="12" customWidth="1"/>
    <col min="11001" max="11002" width="9.109375" style="12"/>
    <col min="11003" max="11003" width="23.5546875" style="12" customWidth="1"/>
    <col min="11004" max="11004" width="3.33203125" style="12" customWidth="1"/>
    <col min="11005" max="11005" width="9" style="12" customWidth="1"/>
    <col min="11006" max="11006" width="1" style="12" customWidth="1"/>
    <col min="11007" max="11007" width="9.33203125" style="12" customWidth="1"/>
    <col min="11008" max="11008" width="4.44140625" style="12" customWidth="1"/>
    <col min="11009" max="11009" width="13.88671875" style="12" customWidth="1"/>
    <col min="11010" max="11249" width="9.109375" style="12"/>
    <col min="11250" max="11250" width="1.88671875" style="12" customWidth="1"/>
    <col min="11251" max="11251" width="2.6640625" style="12" customWidth="1"/>
    <col min="11252" max="11252" width="17.6640625" style="12" customWidth="1"/>
    <col min="11253" max="11253" width="3.109375" style="12" customWidth="1"/>
    <col min="11254" max="11254" width="9.5546875" style="12" customWidth="1"/>
    <col min="11255" max="11255" width="10.5546875" style="12" customWidth="1"/>
    <col min="11256" max="11256" width="10.88671875" style="12" customWidth="1"/>
    <col min="11257" max="11258" width="9.109375" style="12"/>
    <col min="11259" max="11259" width="23.5546875" style="12" customWidth="1"/>
    <col min="11260" max="11260" width="3.33203125" style="12" customWidth="1"/>
    <col min="11261" max="11261" width="9" style="12" customWidth="1"/>
    <col min="11262" max="11262" width="1" style="12" customWidth="1"/>
    <col min="11263" max="11263" width="9.33203125" style="12" customWidth="1"/>
    <col min="11264" max="11264" width="4.44140625" style="12" customWidth="1"/>
    <col min="11265" max="11265" width="13.88671875" style="12" customWidth="1"/>
    <col min="11266" max="11505" width="9.109375" style="12"/>
    <col min="11506" max="11506" width="1.88671875" style="12" customWidth="1"/>
    <col min="11507" max="11507" width="2.6640625" style="12" customWidth="1"/>
    <col min="11508" max="11508" width="17.6640625" style="12" customWidth="1"/>
    <col min="11509" max="11509" width="3.109375" style="12" customWidth="1"/>
    <col min="11510" max="11510" width="9.5546875" style="12" customWidth="1"/>
    <col min="11511" max="11511" width="10.5546875" style="12" customWidth="1"/>
    <col min="11512" max="11512" width="10.88671875" style="12" customWidth="1"/>
    <col min="11513" max="11514" width="9.109375" style="12"/>
    <col min="11515" max="11515" width="23.5546875" style="12" customWidth="1"/>
    <col min="11516" max="11516" width="3.33203125" style="12" customWidth="1"/>
    <col min="11517" max="11517" width="9" style="12" customWidth="1"/>
    <col min="11518" max="11518" width="1" style="12" customWidth="1"/>
    <col min="11519" max="11519" width="9.33203125" style="12" customWidth="1"/>
    <col min="11520" max="11520" width="4.44140625" style="12" customWidth="1"/>
    <col min="11521" max="11521" width="13.88671875" style="12" customWidth="1"/>
    <col min="11522" max="11761" width="9.109375" style="12"/>
    <col min="11762" max="11762" width="1.88671875" style="12" customWidth="1"/>
    <col min="11763" max="11763" width="2.6640625" style="12" customWidth="1"/>
    <col min="11764" max="11764" width="17.6640625" style="12" customWidth="1"/>
    <col min="11765" max="11765" width="3.109375" style="12" customWidth="1"/>
    <col min="11766" max="11766" width="9.5546875" style="12" customWidth="1"/>
    <col min="11767" max="11767" width="10.5546875" style="12" customWidth="1"/>
    <col min="11768" max="11768" width="10.88671875" style="12" customWidth="1"/>
    <col min="11769" max="11770" width="9.109375" style="12"/>
    <col min="11771" max="11771" width="23.5546875" style="12" customWidth="1"/>
    <col min="11772" max="11772" width="3.33203125" style="12" customWidth="1"/>
    <col min="11773" max="11773" width="9" style="12" customWidth="1"/>
    <col min="11774" max="11774" width="1" style="12" customWidth="1"/>
    <col min="11775" max="11775" width="9.33203125" style="12" customWidth="1"/>
    <col min="11776" max="11776" width="4.44140625" style="12" customWidth="1"/>
    <col min="11777" max="11777" width="13.88671875" style="12" customWidth="1"/>
    <col min="11778" max="12017" width="9.109375" style="12"/>
    <col min="12018" max="12018" width="1.88671875" style="12" customWidth="1"/>
    <col min="12019" max="12019" width="2.6640625" style="12" customWidth="1"/>
    <col min="12020" max="12020" width="17.6640625" style="12" customWidth="1"/>
    <col min="12021" max="12021" width="3.109375" style="12" customWidth="1"/>
    <col min="12022" max="12022" width="9.5546875" style="12" customWidth="1"/>
    <col min="12023" max="12023" width="10.5546875" style="12" customWidth="1"/>
    <col min="12024" max="12024" width="10.88671875" style="12" customWidth="1"/>
    <col min="12025" max="12026" width="9.109375" style="12"/>
    <col min="12027" max="12027" width="23.5546875" style="12" customWidth="1"/>
    <col min="12028" max="12028" width="3.33203125" style="12" customWidth="1"/>
    <col min="12029" max="12029" width="9" style="12" customWidth="1"/>
    <col min="12030" max="12030" width="1" style="12" customWidth="1"/>
    <col min="12031" max="12031" width="9.33203125" style="12" customWidth="1"/>
    <col min="12032" max="12032" width="4.44140625" style="12" customWidth="1"/>
    <col min="12033" max="12033" width="13.88671875" style="12" customWidth="1"/>
    <col min="12034" max="12273" width="9.109375" style="12"/>
    <col min="12274" max="12274" width="1.88671875" style="12" customWidth="1"/>
    <col min="12275" max="12275" width="2.6640625" style="12" customWidth="1"/>
    <col min="12276" max="12276" width="17.6640625" style="12" customWidth="1"/>
    <col min="12277" max="12277" width="3.109375" style="12" customWidth="1"/>
    <col min="12278" max="12278" width="9.5546875" style="12" customWidth="1"/>
    <col min="12279" max="12279" width="10.5546875" style="12" customWidth="1"/>
    <col min="12280" max="12280" width="10.88671875" style="12" customWidth="1"/>
    <col min="12281" max="12282" width="9.109375" style="12"/>
    <col min="12283" max="12283" width="23.5546875" style="12" customWidth="1"/>
    <col min="12284" max="12284" width="3.33203125" style="12" customWidth="1"/>
    <col min="12285" max="12285" width="9" style="12" customWidth="1"/>
    <col min="12286" max="12286" width="1" style="12" customWidth="1"/>
    <col min="12287" max="12287" width="9.33203125" style="12" customWidth="1"/>
    <col min="12288" max="12288" width="4.44140625" style="12" customWidth="1"/>
    <col min="12289" max="12289" width="13.88671875" style="12" customWidth="1"/>
    <col min="12290" max="12529" width="9.109375" style="12"/>
    <col min="12530" max="12530" width="1.88671875" style="12" customWidth="1"/>
    <col min="12531" max="12531" width="2.6640625" style="12" customWidth="1"/>
    <col min="12532" max="12532" width="17.6640625" style="12" customWidth="1"/>
    <col min="12533" max="12533" width="3.109375" style="12" customWidth="1"/>
    <col min="12534" max="12534" width="9.5546875" style="12" customWidth="1"/>
    <col min="12535" max="12535" width="10.5546875" style="12" customWidth="1"/>
    <col min="12536" max="12536" width="10.88671875" style="12" customWidth="1"/>
    <col min="12537" max="12538" width="9.109375" style="12"/>
    <col min="12539" max="12539" width="23.5546875" style="12" customWidth="1"/>
    <col min="12540" max="12540" width="3.33203125" style="12" customWidth="1"/>
    <col min="12541" max="12541" width="9" style="12" customWidth="1"/>
    <col min="12542" max="12542" width="1" style="12" customWidth="1"/>
    <col min="12543" max="12543" width="9.33203125" style="12" customWidth="1"/>
    <col min="12544" max="12544" width="4.44140625" style="12" customWidth="1"/>
    <col min="12545" max="12545" width="13.88671875" style="12" customWidth="1"/>
    <col min="12546" max="12785" width="9.109375" style="12"/>
    <col min="12786" max="12786" width="1.88671875" style="12" customWidth="1"/>
    <col min="12787" max="12787" width="2.6640625" style="12" customWidth="1"/>
    <col min="12788" max="12788" width="17.6640625" style="12" customWidth="1"/>
    <col min="12789" max="12789" width="3.109375" style="12" customWidth="1"/>
    <col min="12790" max="12790" width="9.5546875" style="12" customWidth="1"/>
    <col min="12791" max="12791" width="10.5546875" style="12" customWidth="1"/>
    <col min="12792" max="12792" width="10.88671875" style="12" customWidth="1"/>
    <col min="12793" max="12794" width="9.109375" style="12"/>
    <col min="12795" max="12795" width="23.5546875" style="12" customWidth="1"/>
    <col min="12796" max="12796" width="3.33203125" style="12" customWidth="1"/>
    <col min="12797" max="12797" width="9" style="12" customWidth="1"/>
    <col min="12798" max="12798" width="1" style="12" customWidth="1"/>
    <col min="12799" max="12799" width="9.33203125" style="12" customWidth="1"/>
    <col min="12800" max="12800" width="4.44140625" style="12" customWidth="1"/>
    <col min="12801" max="12801" width="13.88671875" style="12" customWidth="1"/>
    <col min="12802" max="13041" width="9.109375" style="12"/>
    <col min="13042" max="13042" width="1.88671875" style="12" customWidth="1"/>
    <col min="13043" max="13043" width="2.6640625" style="12" customWidth="1"/>
    <col min="13044" max="13044" width="17.6640625" style="12" customWidth="1"/>
    <col min="13045" max="13045" width="3.109375" style="12" customWidth="1"/>
    <col min="13046" max="13046" width="9.5546875" style="12" customWidth="1"/>
    <col min="13047" max="13047" width="10.5546875" style="12" customWidth="1"/>
    <col min="13048" max="13048" width="10.88671875" style="12" customWidth="1"/>
    <col min="13049" max="13050" width="9.109375" style="12"/>
    <col min="13051" max="13051" width="23.5546875" style="12" customWidth="1"/>
    <col min="13052" max="13052" width="3.33203125" style="12" customWidth="1"/>
    <col min="13053" max="13053" width="9" style="12" customWidth="1"/>
    <col min="13054" max="13054" width="1" style="12" customWidth="1"/>
    <col min="13055" max="13055" width="9.33203125" style="12" customWidth="1"/>
    <col min="13056" max="13056" width="4.44140625" style="12" customWidth="1"/>
    <col min="13057" max="13057" width="13.88671875" style="12" customWidth="1"/>
    <col min="13058" max="13297" width="9.109375" style="12"/>
    <col min="13298" max="13298" width="1.88671875" style="12" customWidth="1"/>
    <col min="13299" max="13299" width="2.6640625" style="12" customWidth="1"/>
    <col min="13300" max="13300" width="17.6640625" style="12" customWidth="1"/>
    <col min="13301" max="13301" width="3.109375" style="12" customWidth="1"/>
    <col min="13302" max="13302" width="9.5546875" style="12" customWidth="1"/>
    <col min="13303" max="13303" width="10.5546875" style="12" customWidth="1"/>
    <col min="13304" max="13304" width="10.88671875" style="12" customWidth="1"/>
    <col min="13305" max="13306" width="9.109375" style="12"/>
    <col min="13307" max="13307" width="23.5546875" style="12" customWidth="1"/>
    <col min="13308" max="13308" width="3.33203125" style="12" customWidth="1"/>
    <col min="13309" max="13309" width="9" style="12" customWidth="1"/>
    <col min="13310" max="13310" width="1" style="12" customWidth="1"/>
    <col min="13311" max="13311" width="9.33203125" style="12" customWidth="1"/>
    <col min="13312" max="13312" width="4.44140625" style="12" customWidth="1"/>
    <col min="13313" max="13313" width="13.88671875" style="12" customWidth="1"/>
    <col min="13314" max="13553" width="9.109375" style="12"/>
    <col min="13554" max="13554" width="1.88671875" style="12" customWidth="1"/>
    <col min="13555" max="13555" width="2.6640625" style="12" customWidth="1"/>
    <col min="13556" max="13556" width="17.6640625" style="12" customWidth="1"/>
    <col min="13557" max="13557" width="3.109375" style="12" customWidth="1"/>
    <col min="13558" max="13558" width="9.5546875" style="12" customWidth="1"/>
    <col min="13559" max="13559" width="10.5546875" style="12" customWidth="1"/>
    <col min="13560" max="13560" width="10.88671875" style="12" customWidth="1"/>
    <col min="13561" max="13562" width="9.109375" style="12"/>
    <col min="13563" max="13563" width="23.5546875" style="12" customWidth="1"/>
    <col min="13564" max="13564" width="3.33203125" style="12" customWidth="1"/>
    <col min="13565" max="13565" width="9" style="12" customWidth="1"/>
    <col min="13566" max="13566" width="1" style="12" customWidth="1"/>
    <col min="13567" max="13567" width="9.33203125" style="12" customWidth="1"/>
    <col min="13568" max="13568" width="4.44140625" style="12" customWidth="1"/>
    <col min="13569" max="13569" width="13.88671875" style="12" customWidth="1"/>
    <col min="13570" max="13809" width="9.109375" style="12"/>
    <col min="13810" max="13810" width="1.88671875" style="12" customWidth="1"/>
    <col min="13811" max="13811" width="2.6640625" style="12" customWidth="1"/>
    <col min="13812" max="13812" width="17.6640625" style="12" customWidth="1"/>
    <col min="13813" max="13813" width="3.109375" style="12" customWidth="1"/>
    <col min="13814" max="13814" width="9.5546875" style="12" customWidth="1"/>
    <col min="13815" max="13815" width="10.5546875" style="12" customWidth="1"/>
    <col min="13816" max="13816" width="10.88671875" style="12" customWidth="1"/>
    <col min="13817" max="13818" width="9.109375" style="12"/>
    <col min="13819" max="13819" width="23.5546875" style="12" customWidth="1"/>
    <col min="13820" max="13820" width="3.33203125" style="12" customWidth="1"/>
    <col min="13821" max="13821" width="9" style="12" customWidth="1"/>
    <col min="13822" max="13822" width="1" style="12" customWidth="1"/>
    <col min="13823" max="13823" width="9.33203125" style="12" customWidth="1"/>
    <col min="13824" max="13824" width="4.44140625" style="12" customWidth="1"/>
    <col min="13825" max="13825" width="13.88671875" style="12" customWidth="1"/>
    <col min="13826" max="14065" width="9.109375" style="12"/>
    <col min="14066" max="14066" width="1.88671875" style="12" customWidth="1"/>
    <col min="14067" max="14067" width="2.6640625" style="12" customWidth="1"/>
    <col min="14068" max="14068" width="17.6640625" style="12" customWidth="1"/>
    <col min="14069" max="14069" width="3.109375" style="12" customWidth="1"/>
    <col min="14070" max="14070" width="9.5546875" style="12" customWidth="1"/>
    <col min="14071" max="14071" width="10.5546875" style="12" customWidth="1"/>
    <col min="14072" max="14072" width="10.88671875" style="12" customWidth="1"/>
    <col min="14073" max="14074" width="9.109375" style="12"/>
    <col min="14075" max="14075" width="23.5546875" style="12" customWidth="1"/>
    <col min="14076" max="14076" width="3.33203125" style="12" customWidth="1"/>
    <col min="14077" max="14077" width="9" style="12" customWidth="1"/>
    <col min="14078" max="14078" width="1" style="12" customWidth="1"/>
    <col min="14079" max="14079" width="9.33203125" style="12" customWidth="1"/>
    <col min="14080" max="14080" width="4.44140625" style="12" customWidth="1"/>
    <col min="14081" max="14081" width="13.88671875" style="12" customWidth="1"/>
    <col min="14082" max="14321" width="9.109375" style="12"/>
    <col min="14322" max="14322" width="1.88671875" style="12" customWidth="1"/>
    <col min="14323" max="14323" width="2.6640625" style="12" customWidth="1"/>
    <col min="14324" max="14324" width="17.6640625" style="12" customWidth="1"/>
    <col min="14325" max="14325" width="3.109375" style="12" customWidth="1"/>
    <col min="14326" max="14326" width="9.5546875" style="12" customWidth="1"/>
    <col min="14327" max="14327" width="10.5546875" style="12" customWidth="1"/>
    <col min="14328" max="14328" width="10.88671875" style="12" customWidth="1"/>
    <col min="14329" max="14330" width="9.109375" style="12"/>
    <col min="14331" max="14331" width="23.5546875" style="12" customWidth="1"/>
    <col min="14332" max="14332" width="3.33203125" style="12" customWidth="1"/>
    <col min="14333" max="14333" width="9" style="12" customWidth="1"/>
    <col min="14334" max="14334" width="1" style="12" customWidth="1"/>
    <col min="14335" max="14335" width="9.33203125" style="12" customWidth="1"/>
    <col min="14336" max="14336" width="4.44140625" style="12" customWidth="1"/>
    <col min="14337" max="14337" width="13.88671875" style="12" customWidth="1"/>
    <col min="14338" max="14577" width="9.109375" style="12"/>
    <col min="14578" max="14578" width="1.88671875" style="12" customWidth="1"/>
    <col min="14579" max="14579" width="2.6640625" style="12" customWidth="1"/>
    <col min="14580" max="14580" width="17.6640625" style="12" customWidth="1"/>
    <col min="14581" max="14581" width="3.109375" style="12" customWidth="1"/>
    <col min="14582" max="14582" width="9.5546875" style="12" customWidth="1"/>
    <col min="14583" max="14583" width="10.5546875" style="12" customWidth="1"/>
    <col min="14584" max="14584" width="10.88671875" style="12" customWidth="1"/>
    <col min="14585" max="14586" width="9.109375" style="12"/>
    <col min="14587" max="14587" width="23.5546875" style="12" customWidth="1"/>
    <col min="14588" max="14588" width="3.33203125" style="12" customWidth="1"/>
    <col min="14589" max="14589" width="9" style="12" customWidth="1"/>
    <col min="14590" max="14590" width="1" style="12" customWidth="1"/>
    <col min="14591" max="14591" width="9.33203125" style="12" customWidth="1"/>
    <col min="14592" max="14592" width="4.44140625" style="12" customWidth="1"/>
    <col min="14593" max="14593" width="13.88671875" style="12" customWidth="1"/>
    <col min="14594" max="14833" width="9.109375" style="12"/>
    <col min="14834" max="14834" width="1.88671875" style="12" customWidth="1"/>
    <col min="14835" max="14835" width="2.6640625" style="12" customWidth="1"/>
    <col min="14836" max="14836" width="17.6640625" style="12" customWidth="1"/>
    <col min="14837" max="14837" width="3.109375" style="12" customWidth="1"/>
    <col min="14838" max="14838" width="9.5546875" style="12" customWidth="1"/>
    <col min="14839" max="14839" width="10.5546875" style="12" customWidth="1"/>
    <col min="14840" max="14840" width="10.88671875" style="12" customWidth="1"/>
    <col min="14841" max="14842" width="9.109375" style="12"/>
    <col min="14843" max="14843" width="23.5546875" style="12" customWidth="1"/>
    <col min="14844" max="14844" width="3.33203125" style="12" customWidth="1"/>
    <col min="14845" max="14845" width="9" style="12" customWidth="1"/>
    <col min="14846" max="14846" width="1" style="12" customWidth="1"/>
    <col min="14847" max="14847" width="9.33203125" style="12" customWidth="1"/>
    <col min="14848" max="14848" width="4.44140625" style="12" customWidth="1"/>
    <col min="14849" max="14849" width="13.88671875" style="12" customWidth="1"/>
    <col min="14850" max="15089" width="9.109375" style="12"/>
    <col min="15090" max="15090" width="1.88671875" style="12" customWidth="1"/>
    <col min="15091" max="15091" width="2.6640625" style="12" customWidth="1"/>
    <col min="15092" max="15092" width="17.6640625" style="12" customWidth="1"/>
    <col min="15093" max="15093" width="3.109375" style="12" customWidth="1"/>
    <col min="15094" max="15094" width="9.5546875" style="12" customWidth="1"/>
    <col min="15095" max="15095" width="10.5546875" style="12" customWidth="1"/>
    <col min="15096" max="15096" width="10.88671875" style="12" customWidth="1"/>
    <col min="15097" max="15098" width="9.109375" style="12"/>
    <col min="15099" max="15099" width="23.5546875" style="12" customWidth="1"/>
    <col min="15100" max="15100" width="3.33203125" style="12" customWidth="1"/>
    <col min="15101" max="15101" width="9" style="12" customWidth="1"/>
    <col min="15102" max="15102" width="1" style="12" customWidth="1"/>
    <col min="15103" max="15103" width="9.33203125" style="12" customWidth="1"/>
    <col min="15104" max="15104" width="4.44140625" style="12" customWidth="1"/>
    <col min="15105" max="15105" width="13.88671875" style="12" customWidth="1"/>
    <col min="15106" max="15345" width="9.109375" style="12"/>
    <col min="15346" max="15346" width="1.88671875" style="12" customWidth="1"/>
    <col min="15347" max="15347" width="2.6640625" style="12" customWidth="1"/>
    <col min="15348" max="15348" width="17.6640625" style="12" customWidth="1"/>
    <col min="15349" max="15349" width="3.109375" style="12" customWidth="1"/>
    <col min="15350" max="15350" width="9.5546875" style="12" customWidth="1"/>
    <col min="15351" max="15351" width="10.5546875" style="12" customWidth="1"/>
    <col min="15352" max="15352" width="10.88671875" style="12" customWidth="1"/>
    <col min="15353" max="15354" width="9.109375" style="12"/>
    <col min="15355" max="15355" width="23.5546875" style="12" customWidth="1"/>
    <col min="15356" max="15356" width="3.33203125" style="12" customWidth="1"/>
    <col min="15357" max="15357" width="9" style="12" customWidth="1"/>
    <col min="15358" max="15358" width="1" style="12" customWidth="1"/>
    <col min="15359" max="15359" width="9.33203125" style="12" customWidth="1"/>
    <col min="15360" max="15360" width="4.44140625" style="12" customWidth="1"/>
    <col min="15361" max="15361" width="13.88671875" style="12" customWidth="1"/>
    <col min="15362" max="15601" width="9.109375" style="12"/>
    <col min="15602" max="15602" width="1.88671875" style="12" customWidth="1"/>
    <col min="15603" max="15603" width="2.6640625" style="12" customWidth="1"/>
    <col min="15604" max="15604" width="17.6640625" style="12" customWidth="1"/>
    <col min="15605" max="15605" width="3.109375" style="12" customWidth="1"/>
    <col min="15606" max="15606" width="9.5546875" style="12" customWidth="1"/>
    <col min="15607" max="15607" width="10.5546875" style="12" customWidth="1"/>
    <col min="15608" max="15608" width="10.88671875" style="12" customWidth="1"/>
    <col min="15609" max="15610" width="9.109375" style="12"/>
    <col min="15611" max="15611" width="23.5546875" style="12" customWidth="1"/>
    <col min="15612" max="15612" width="3.33203125" style="12" customWidth="1"/>
    <col min="15613" max="15613" width="9" style="12" customWidth="1"/>
    <col min="15614" max="15614" width="1" style="12" customWidth="1"/>
    <col min="15615" max="15615" width="9.33203125" style="12" customWidth="1"/>
    <col min="15616" max="15616" width="4.44140625" style="12" customWidth="1"/>
    <col min="15617" max="15617" width="13.88671875" style="12" customWidth="1"/>
    <col min="15618" max="15857" width="9.109375" style="12"/>
    <col min="15858" max="15858" width="1.88671875" style="12" customWidth="1"/>
    <col min="15859" max="15859" width="2.6640625" style="12" customWidth="1"/>
    <col min="15860" max="15860" width="17.6640625" style="12" customWidth="1"/>
    <col min="15861" max="15861" width="3.109375" style="12" customWidth="1"/>
    <col min="15862" max="15862" width="9.5546875" style="12" customWidth="1"/>
    <col min="15863" max="15863" width="10.5546875" style="12" customWidth="1"/>
    <col min="15864" max="15864" width="10.88671875" style="12" customWidth="1"/>
    <col min="15865" max="15866" width="9.109375" style="12"/>
    <col min="15867" max="15867" width="23.5546875" style="12" customWidth="1"/>
    <col min="15868" max="15868" width="3.33203125" style="12" customWidth="1"/>
    <col min="15869" max="15869" width="9" style="12" customWidth="1"/>
    <col min="15870" max="15870" width="1" style="12" customWidth="1"/>
    <col min="15871" max="15871" width="9.33203125" style="12" customWidth="1"/>
    <col min="15872" max="15872" width="4.44140625" style="12" customWidth="1"/>
    <col min="15873" max="15873" width="13.88671875" style="12" customWidth="1"/>
    <col min="15874" max="16113" width="9.109375" style="12"/>
    <col min="16114" max="16114" width="1.88671875" style="12" customWidth="1"/>
    <col min="16115" max="16115" width="2.6640625" style="12" customWidth="1"/>
    <col min="16116" max="16116" width="17.6640625" style="12" customWidth="1"/>
    <col min="16117" max="16117" width="3.109375" style="12" customWidth="1"/>
    <col min="16118" max="16118" width="9.5546875" style="12" customWidth="1"/>
    <col min="16119" max="16119" width="10.5546875" style="12" customWidth="1"/>
    <col min="16120" max="16120" width="10.88671875" style="12" customWidth="1"/>
    <col min="16121" max="16122" width="9.109375" style="12"/>
    <col min="16123" max="16123" width="23.5546875" style="12" customWidth="1"/>
    <col min="16124" max="16124" width="3.33203125" style="12" customWidth="1"/>
    <col min="16125" max="16125" width="9" style="12" customWidth="1"/>
    <col min="16126" max="16126" width="1" style="12" customWidth="1"/>
    <col min="16127" max="16127" width="9.33203125" style="12" customWidth="1"/>
    <col min="16128" max="16128" width="4.44140625" style="12" customWidth="1"/>
    <col min="16129" max="16129" width="13.88671875" style="12" customWidth="1"/>
    <col min="16130" max="16384" width="9.109375" style="12"/>
  </cols>
  <sheetData>
    <row r="1" spans="1:8" x14ac:dyDescent="0.25">
      <c r="A1" s="1"/>
    </row>
    <row r="2" spans="1:8" ht="14.25" customHeight="1" x14ac:dyDescent="0.35">
      <c r="B2" s="239" t="s">
        <v>206</v>
      </c>
      <c r="C2" s="240"/>
      <c r="D2" s="240"/>
      <c r="E2" s="240"/>
      <c r="F2" s="240"/>
    </row>
    <row r="3" spans="1:8" ht="29.25" customHeight="1" x14ac:dyDescent="0.25">
      <c r="B3" s="221" t="s">
        <v>202</v>
      </c>
      <c r="C3" s="36"/>
      <c r="D3" s="224" t="s">
        <v>100</v>
      </c>
      <c r="E3" s="37" t="s">
        <v>124</v>
      </c>
      <c r="F3" s="15" t="s">
        <v>0</v>
      </c>
      <c r="H3" s="182" t="s">
        <v>116</v>
      </c>
    </row>
    <row r="4" spans="1:8" x14ac:dyDescent="0.25">
      <c r="B4" s="236" t="s">
        <v>63</v>
      </c>
      <c r="C4" s="236"/>
      <c r="D4" s="38"/>
      <c r="E4" s="59"/>
      <c r="F4" s="54"/>
    </row>
    <row r="5" spans="1:8" x14ac:dyDescent="0.25">
      <c r="B5" s="38"/>
      <c r="C5" s="41" t="s">
        <v>62</v>
      </c>
      <c r="D5" s="177">
        <f>0.8*E5</f>
        <v>1152</v>
      </c>
      <c r="E5" s="178">
        <v>1440</v>
      </c>
      <c r="F5" s="60"/>
      <c r="H5" s="183"/>
    </row>
    <row r="6" spans="1:8" x14ac:dyDescent="0.25">
      <c r="B6" s="38"/>
      <c r="C6" s="41"/>
      <c r="D6" s="177"/>
      <c r="E6" s="178"/>
      <c r="F6" s="60"/>
      <c r="H6" s="183"/>
    </row>
    <row r="7" spans="1:8" x14ac:dyDescent="0.25">
      <c r="B7" s="243" t="s">
        <v>18</v>
      </c>
      <c r="C7" s="243"/>
      <c r="D7" s="179"/>
      <c r="E7" s="180"/>
      <c r="F7" s="40"/>
    </row>
    <row r="8" spans="1:8" x14ac:dyDescent="0.25">
      <c r="B8" s="38"/>
      <c r="C8" s="41" t="s">
        <v>62</v>
      </c>
      <c r="D8" s="181">
        <v>11.46</v>
      </c>
      <c r="E8" s="181">
        <v>11.46</v>
      </c>
      <c r="F8" s="54"/>
      <c r="H8" s="183"/>
    </row>
    <row r="9" spans="1:8" x14ac:dyDescent="0.25">
      <c r="B9" s="38"/>
      <c r="C9" s="41"/>
      <c r="D9" s="181"/>
      <c r="E9" s="181"/>
      <c r="F9" s="54"/>
      <c r="H9" s="183"/>
    </row>
    <row r="10" spans="1:8" x14ac:dyDescent="0.25">
      <c r="B10" s="243" t="s">
        <v>214</v>
      </c>
      <c r="C10" s="243"/>
      <c r="D10" s="57">
        <f>(D5*D8)+(D6*D9)</f>
        <v>13201.920000000002</v>
      </c>
      <c r="E10" s="57">
        <f>(E5*E8)+(E6*E9)</f>
        <v>16502.400000000001</v>
      </c>
      <c r="F10" s="40"/>
      <c r="H10" s="183"/>
    </row>
    <row r="11" spans="1:8" x14ac:dyDescent="0.25">
      <c r="B11" s="222"/>
      <c r="C11" s="222"/>
      <c r="D11" s="57"/>
      <c r="E11" s="57"/>
      <c r="F11" s="40"/>
      <c r="H11" s="185"/>
    </row>
    <row r="12" spans="1:8" x14ac:dyDescent="0.25">
      <c r="B12" s="238" t="s">
        <v>215</v>
      </c>
      <c r="C12" s="236"/>
      <c r="D12" s="38"/>
      <c r="E12" s="39"/>
      <c r="F12" s="40"/>
    </row>
    <row r="13" spans="1:8" x14ac:dyDescent="0.25">
      <c r="B13" s="11"/>
      <c r="C13" s="41" t="s">
        <v>144</v>
      </c>
      <c r="D13" s="151">
        <v>2030</v>
      </c>
      <c r="E13" s="152">
        <v>2030</v>
      </c>
      <c r="F13" s="153" t="s">
        <v>8</v>
      </c>
      <c r="H13" s="183"/>
    </row>
    <row r="14" spans="1:8" x14ac:dyDescent="0.25">
      <c r="B14" s="11"/>
      <c r="C14" s="41" t="s">
        <v>1</v>
      </c>
      <c r="D14" s="151">
        <v>1320</v>
      </c>
      <c r="E14" s="152">
        <v>1320</v>
      </c>
      <c r="F14" s="153" t="s">
        <v>9</v>
      </c>
      <c r="H14" s="183"/>
    </row>
    <row r="15" spans="1:8" x14ac:dyDescent="0.25">
      <c r="B15" s="11"/>
      <c r="C15" s="44" t="s">
        <v>10</v>
      </c>
      <c r="D15" s="151">
        <v>0</v>
      </c>
      <c r="E15" s="152">
        <v>0</v>
      </c>
      <c r="F15" s="153" t="s">
        <v>11</v>
      </c>
      <c r="H15" s="183"/>
    </row>
    <row r="16" spans="1:8" x14ac:dyDescent="0.25">
      <c r="B16" s="11"/>
      <c r="C16" s="44" t="s">
        <v>145</v>
      </c>
      <c r="D16" s="151">
        <v>140</v>
      </c>
      <c r="E16" s="152">
        <v>140</v>
      </c>
      <c r="F16" s="153" t="s">
        <v>12</v>
      </c>
      <c r="H16" s="183"/>
    </row>
    <row r="17" spans="2:12" x14ac:dyDescent="0.25">
      <c r="B17" s="11"/>
      <c r="C17" s="44" t="s">
        <v>146</v>
      </c>
      <c r="D17" s="151">
        <v>220</v>
      </c>
      <c r="E17" s="152">
        <v>220</v>
      </c>
      <c r="F17" s="153" t="s">
        <v>178</v>
      </c>
      <c r="H17" s="183"/>
    </row>
    <row r="18" spans="2:12" x14ac:dyDescent="0.25">
      <c r="B18" s="11"/>
      <c r="C18" s="41" t="s">
        <v>147</v>
      </c>
      <c r="D18" s="151">
        <v>460</v>
      </c>
      <c r="E18" s="152">
        <v>460</v>
      </c>
      <c r="F18" s="154" t="s">
        <v>2</v>
      </c>
      <c r="H18" s="183"/>
    </row>
    <row r="19" spans="2:12" x14ac:dyDescent="0.25">
      <c r="B19" s="11"/>
      <c r="C19" s="41" t="s">
        <v>148</v>
      </c>
      <c r="D19" s="151">
        <v>180</v>
      </c>
      <c r="E19" s="152">
        <v>180</v>
      </c>
      <c r="F19" s="154" t="s">
        <v>66</v>
      </c>
      <c r="H19" s="183"/>
    </row>
    <row r="20" spans="2:12" x14ac:dyDescent="0.25">
      <c r="B20" s="11"/>
      <c r="C20" s="41" t="s">
        <v>149</v>
      </c>
      <c r="D20" s="151">
        <v>84</v>
      </c>
      <c r="E20" s="152">
        <v>80</v>
      </c>
      <c r="F20" s="154"/>
      <c r="H20" s="183"/>
    </row>
    <row r="21" spans="2:12" x14ac:dyDescent="0.25">
      <c r="B21" s="11"/>
      <c r="C21" s="41" t="s">
        <v>150</v>
      </c>
      <c r="D21" s="151">
        <v>90</v>
      </c>
      <c r="E21" s="152">
        <v>90</v>
      </c>
      <c r="F21" s="154"/>
    </row>
    <row r="22" spans="2:12" x14ac:dyDescent="0.25">
      <c r="B22" s="11"/>
      <c r="C22" s="41" t="s">
        <v>5</v>
      </c>
      <c r="D22" s="151">
        <v>4110</v>
      </c>
      <c r="E22" s="152">
        <v>4110</v>
      </c>
      <c r="F22" s="153" t="s">
        <v>20</v>
      </c>
    </row>
    <row r="23" spans="2:12" x14ac:dyDescent="0.25">
      <c r="B23" s="11"/>
      <c r="C23" s="41" t="s">
        <v>3</v>
      </c>
      <c r="D23" s="151">
        <v>380</v>
      </c>
      <c r="E23" s="152">
        <v>380</v>
      </c>
      <c r="F23" s="153" t="s">
        <v>22</v>
      </c>
      <c r="H23" s="183"/>
    </row>
    <row r="24" spans="2:12" x14ac:dyDescent="0.25">
      <c r="B24" s="11"/>
      <c r="C24" s="41" t="s">
        <v>151</v>
      </c>
      <c r="D24" s="152">
        <f>+(SUM(D13:D23)*0.05)/2</f>
        <v>225.35000000000002</v>
      </c>
      <c r="E24" s="152">
        <f>+(SUM(E13:E23)*0.05)/2</f>
        <v>225.25</v>
      </c>
      <c r="F24" s="104" t="s">
        <v>179</v>
      </c>
      <c r="H24" s="183"/>
    </row>
    <row r="25" spans="2:12" ht="14.4" x14ac:dyDescent="0.3">
      <c r="B25" s="237" t="s">
        <v>6</v>
      </c>
      <c r="C25" s="237"/>
      <c r="D25" s="46">
        <f>+SUM(D13:D24)</f>
        <v>9239.35</v>
      </c>
      <c r="E25" s="46">
        <f>+SUM(E13:E24)</f>
        <v>9235.25</v>
      </c>
      <c r="F25" s="43"/>
      <c r="H25" s="183"/>
    </row>
    <row r="26" spans="2:12" x14ac:dyDescent="0.25">
      <c r="B26" s="47"/>
      <c r="C26" s="47"/>
      <c r="D26" s="48"/>
      <c r="E26" s="49"/>
      <c r="F26" s="50"/>
      <c r="H26" s="183"/>
    </row>
    <row r="27" spans="2:12" x14ac:dyDescent="0.25">
      <c r="B27" s="236" t="s">
        <v>216</v>
      </c>
      <c r="C27" s="236"/>
      <c r="D27" s="51"/>
      <c r="E27" s="49"/>
      <c r="F27" s="43"/>
      <c r="H27" s="183"/>
    </row>
    <row r="28" spans="2:12" x14ac:dyDescent="0.25">
      <c r="B28" s="11"/>
      <c r="C28" s="41" t="s">
        <v>152</v>
      </c>
      <c r="D28" s="181">
        <f>'App1. Machinery Etc'!$H$42</f>
        <v>1021.606782106782</v>
      </c>
      <c r="E28" s="181">
        <f>'App1. Machinery Etc'!$H$42</f>
        <v>1021.606782106782</v>
      </c>
      <c r="F28" s="52" t="s">
        <v>94</v>
      </c>
      <c r="H28" s="183"/>
    </row>
    <row r="29" spans="2:12" x14ac:dyDescent="0.25">
      <c r="B29" s="11"/>
      <c r="C29" s="41" t="s">
        <v>153</v>
      </c>
      <c r="D29" s="181">
        <f>'App1. Machinery Etc'!$I$42</f>
        <v>692.5806818181818</v>
      </c>
      <c r="E29" s="181">
        <f>'App1. Machinery Etc'!$I$42</f>
        <v>692.5806818181818</v>
      </c>
      <c r="F29" s="52" t="s">
        <v>94</v>
      </c>
      <c r="H29" s="183"/>
    </row>
    <row r="30" spans="2:12" x14ac:dyDescent="0.25">
      <c r="B30" s="11"/>
      <c r="C30" s="41" t="s">
        <v>154</v>
      </c>
      <c r="D30" s="152">
        <v>368</v>
      </c>
      <c r="E30" s="152">
        <v>368</v>
      </c>
      <c r="F30" s="43" t="s">
        <v>14</v>
      </c>
      <c r="H30" s="183"/>
    </row>
    <row r="31" spans="2:12" x14ac:dyDescent="0.25">
      <c r="B31" s="11"/>
      <c r="C31" s="44" t="s">
        <v>155</v>
      </c>
      <c r="D31" s="152">
        <f>70*1.1</f>
        <v>77</v>
      </c>
      <c r="E31" s="152">
        <f>70*1.1</f>
        <v>77</v>
      </c>
      <c r="F31" s="52" t="s">
        <v>158</v>
      </c>
      <c r="H31" s="183"/>
      <c r="L31" s="53"/>
    </row>
    <row r="32" spans="2:12" x14ac:dyDescent="0.25">
      <c r="B32" s="11"/>
      <c r="C32" s="41" t="s">
        <v>156</v>
      </c>
      <c r="D32" s="152">
        <f>15000*0.045</f>
        <v>675</v>
      </c>
      <c r="E32" s="152">
        <f>15000*0.045</f>
        <v>675</v>
      </c>
      <c r="F32" s="52" t="s">
        <v>203</v>
      </c>
      <c r="H32" s="183"/>
    </row>
    <row r="33" spans="2:8" x14ac:dyDescent="0.25">
      <c r="B33" s="11"/>
      <c r="C33" s="41" t="s">
        <v>16</v>
      </c>
      <c r="D33" s="152">
        <v>250</v>
      </c>
      <c r="E33" s="152">
        <v>250</v>
      </c>
      <c r="F33" s="43" t="s">
        <v>43</v>
      </c>
      <c r="H33" s="183"/>
    </row>
    <row r="34" spans="2:8" x14ac:dyDescent="0.25">
      <c r="B34" s="11"/>
      <c r="C34" s="41" t="s">
        <v>17</v>
      </c>
      <c r="D34" s="152">
        <v>170</v>
      </c>
      <c r="E34" s="152">
        <v>170</v>
      </c>
      <c r="F34" s="43" t="s">
        <v>44</v>
      </c>
      <c r="H34" s="183"/>
    </row>
    <row r="35" spans="2:8" x14ac:dyDescent="0.25">
      <c r="B35" s="54"/>
      <c r="C35" s="54" t="s">
        <v>4</v>
      </c>
      <c r="D35" s="152">
        <v>130</v>
      </c>
      <c r="E35" s="152">
        <v>130</v>
      </c>
      <c r="F35" s="43" t="s">
        <v>15</v>
      </c>
      <c r="H35" s="183"/>
    </row>
    <row r="36" spans="2:8" x14ac:dyDescent="0.25">
      <c r="B36" s="54"/>
      <c r="C36" s="54" t="s">
        <v>13</v>
      </c>
      <c r="D36" s="152">
        <v>30</v>
      </c>
      <c r="E36" s="152">
        <v>30</v>
      </c>
      <c r="F36" s="45" t="s">
        <v>21</v>
      </c>
      <c r="H36" s="183"/>
    </row>
    <row r="37" spans="2:8" ht="16.8" x14ac:dyDescent="0.25">
      <c r="B37" s="54"/>
      <c r="C37" s="124" t="s">
        <v>157</v>
      </c>
      <c r="D37" s="42"/>
      <c r="E37" s="176">
        <f>-'App3. Amortization calc'!$C$9</f>
        <v>2103.7110530755667</v>
      </c>
      <c r="F37" s="45"/>
      <c r="H37" s="183"/>
    </row>
    <row r="38" spans="2:8" ht="14.4" x14ac:dyDescent="0.3">
      <c r="B38" s="237" t="s">
        <v>7</v>
      </c>
      <c r="C38" s="237"/>
      <c r="D38" s="55">
        <f>+SUM(D28:D37)</f>
        <v>3414.1874639249636</v>
      </c>
      <c r="E38" s="55">
        <f>+SUM(E28:E37)</f>
        <v>5517.8985170005308</v>
      </c>
      <c r="F38" s="43"/>
      <c r="H38" s="183"/>
    </row>
    <row r="39" spans="2:8" x14ac:dyDescent="0.25">
      <c r="B39" s="241"/>
      <c r="C39" s="242"/>
      <c r="D39" s="56"/>
      <c r="E39" s="49"/>
      <c r="F39" s="50"/>
    </row>
    <row r="40" spans="2:8" x14ac:dyDescent="0.25">
      <c r="B40" s="236" t="s">
        <v>217</v>
      </c>
      <c r="C40" s="236"/>
      <c r="D40" s="57">
        <f>+D25+D38</f>
        <v>12653.537463924964</v>
      </c>
      <c r="E40" s="57">
        <f>+E25+E38</f>
        <v>14753.148517000531</v>
      </c>
      <c r="F40" s="43"/>
      <c r="H40" s="183"/>
    </row>
    <row r="41" spans="2:8" x14ac:dyDescent="0.25">
      <c r="B41" s="241"/>
      <c r="C41" s="242"/>
      <c r="D41" s="41"/>
      <c r="E41" s="58"/>
      <c r="F41" s="50"/>
    </row>
    <row r="42" spans="2:8" x14ac:dyDescent="0.25">
      <c r="B42" s="243"/>
      <c r="C42" s="243"/>
      <c r="D42" s="61"/>
      <c r="E42" s="49"/>
      <c r="F42" s="40"/>
    </row>
    <row r="43" spans="2:8" x14ac:dyDescent="0.25">
      <c r="B43" s="243" t="s">
        <v>218</v>
      </c>
      <c r="C43" s="243"/>
      <c r="D43" s="57">
        <f>D10-D40</f>
        <v>548.38253607503793</v>
      </c>
      <c r="E43" s="57">
        <f>E10-E40</f>
        <v>1749.2514829994707</v>
      </c>
      <c r="F43" s="40"/>
    </row>
    <row r="44" spans="2:8" x14ac:dyDescent="0.25">
      <c r="B44" s="62"/>
      <c r="C44" s="62"/>
      <c r="D44" s="62"/>
      <c r="E44" s="63"/>
      <c r="F44" s="62"/>
      <c r="H44" s="184"/>
    </row>
    <row r="45" spans="2:8" x14ac:dyDescent="0.25">
      <c r="B45" s="120" t="s">
        <v>123</v>
      </c>
      <c r="C45" s="11"/>
      <c r="D45" s="11"/>
      <c r="E45" s="113"/>
      <c r="F45" s="11"/>
      <c r="H45" s="185"/>
    </row>
    <row r="46" spans="2:8" x14ac:dyDescent="0.25">
      <c r="B46" s="120"/>
      <c r="C46" s="117" t="s">
        <v>62</v>
      </c>
      <c r="D46" s="11"/>
      <c r="E46" s="170">
        <f>($E$40-($E$9*$E$6))/E5</f>
        <v>10.245242025694813</v>
      </c>
      <c r="F46" s="1"/>
      <c r="H46" s="183"/>
    </row>
    <row r="47" spans="2:8" x14ac:dyDescent="0.25">
      <c r="B47" s="62"/>
      <c r="C47" s="121"/>
      <c r="D47" s="62"/>
      <c r="E47" s="122"/>
      <c r="F47" s="62"/>
      <c r="H47" s="146"/>
    </row>
    <row r="48" spans="2:8" x14ac:dyDescent="0.25">
      <c r="B48" s="165" t="s">
        <v>181</v>
      </c>
      <c r="D48" s="1"/>
      <c r="E48" s="166"/>
      <c r="F48" s="1"/>
      <c r="G48" s="12"/>
    </row>
    <row r="49" spans="2:8" x14ac:dyDescent="0.25">
      <c r="B49" s="165"/>
      <c r="C49" s="12" t="s">
        <v>62</v>
      </c>
      <c r="D49" s="167"/>
      <c r="E49" s="168">
        <f>($E$40-($E$9*$E$6))/E8</f>
        <v>1287.3602545375679</v>
      </c>
      <c r="F49" s="1"/>
      <c r="G49" s="12"/>
      <c r="H49" s="183"/>
    </row>
    <row r="50" spans="2:8" x14ac:dyDescent="0.25">
      <c r="B50" s="62"/>
      <c r="C50" s="62"/>
      <c r="D50" s="10"/>
      <c r="E50" s="169"/>
      <c r="F50" s="10"/>
      <c r="G50" s="12"/>
      <c r="H50" s="146"/>
    </row>
    <row r="51" spans="2:8" x14ac:dyDescent="0.25">
      <c r="B51" s="64" t="s">
        <v>64</v>
      </c>
      <c r="D51" s="1"/>
      <c r="E51" s="171"/>
      <c r="F51" s="1"/>
    </row>
    <row r="52" spans="2:8" x14ac:dyDescent="0.25">
      <c r="B52" s="64" t="s">
        <v>125</v>
      </c>
      <c r="D52" s="1"/>
      <c r="E52" s="172"/>
      <c r="F52" s="1"/>
    </row>
    <row r="53" spans="2:8" s="64" customFormat="1" ht="28.2" customHeight="1" x14ac:dyDescent="0.25">
      <c r="B53" s="235" t="s">
        <v>182</v>
      </c>
      <c r="C53" s="235"/>
      <c r="D53" s="235"/>
      <c r="E53" s="235"/>
      <c r="F53" s="235"/>
      <c r="G53" s="123"/>
      <c r="H53" s="145"/>
    </row>
    <row r="55" spans="2:8" x14ac:dyDescent="0.25">
      <c r="E55" s="12"/>
    </row>
    <row r="56" spans="2:8" x14ac:dyDescent="0.25">
      <c r="E56" s="65"/>
    </row>
  </sheetData>
  <protectedRanges>
    <protectedRange sqref="A41:XFD41 A26:XFD37 A39:XFD39 A4:XFD9 A42:XFD42 A44:XFD44 A47:XFD47 A54:XFD62 G51:XFD53 A1:XFD3 A12:XFD24" name="Range1"/>
    <protectedRange sqref="A50:XFD50" name="Range1_4"/>
    <protectedRange sqref="B52 B53:C53 A51:A53 D51:F53 B51:C51" name="Range1_4_1"/>
  </protectedRanges>
  <customSheetViews>
    <customSheetView guid="{4DF746F6-C3F2-4BEF-B84D-60D120277636}" fitToPage="1" topLeftCell="A13">
      <selection activeCell="F36" sqref="F36"/>
      <pageMargins left="0.2" right="0.2" top="0.75" bottom="0.75" header="0.3" footer="0.3"/>
      <pageSetup scale="82" orientation="portrait" r:id="rId1"/>
    </customSheetView>
    <customSheetView guid="{76B766A5-443C-4C54-86C8-F5C661F06BFC}" fitToPage="1">
      <selection activeCell="F15" sqref="F15"/>
      <pageMargins left="0.2" right="0.2" top="0.75" bottom="0.75" header="0.3" footer="0.3"/>
      <pageSetup scale="82" orientation="portrait" r:id="rId2"/>
    </customSheetView>
  </customSheetViews>
  <mergeCells count="14">
    <mergeCell ref="B53:F53"/>
    <mergeCell ref="B27:C27"/>
    <mergeCell ref="B25:C25"/>
    <mergeCell ref="B12:C12"/>
    <mergeCell ref="B2:F2"/>
    <mergeCell ref="B41:C41"/>
    <mergeCell ref="B39:C39"/>
    <mergeCell ref="B40:C40"/>
    <mergeCell ref="B38:C38"/>
    <mergeCell ref="B10:C10"/>
    <mergeCell ref="B42:C42"/>
    <mergeCell ref="B43:C43"/>
    <mergeCell ref="B7:C7"/>
    <mergeCell ref="B4:C4"/>
  </mergeCells>
  <pageMargins left="0.2" right="0.2" top="0.75" bottom="0.75" header="0.3" footer="0.3"/>
  <pageSetup scale="82" orientation="portrait" r:id="rId3"/>
  <ignoredErrors>
    <ignoredError sqref="E37 D25:D29 D24:E24 D31:E32 E25:E2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B08C-DE49-45AA-9328-7B3EE8DE5A3C}">
  <dimension ref="B2:N26"/>
  <sheetViews>
    <sheetView workbookViewId="0">
      <selection activeCell="B2" sqref="B2:I2"/>
    </sheetView>
  </sheetViews>
  <sheetFormatPr defaultColWidth="9.109375" defaultRowHeight="13.8" x14ac:dyDescent="0.25"/>
  <cols>
    <col min="1" max="1" width="9.109375" style="2"/>
    <col min="2" max="2" width="4.109375" style="2" customWidth="1"/>
    <col min="3" max="3" width="41.33203125" style="2" customWidth="1"/>
    <col min="4" max="4" width="14.33203125" style="2" customWidth="1"/>
    <col min="5" max="5" width="16.44140625" style="2" customWidth="1"/>
    <col min="6" max="6" width="4.44140625" style="2" customWidth="1"/>
    <col min="7" max="7" width="12.44140625" style="2" customWidth="1"/>
    <col min="8" max="8" width="1.44140625" style="2" customWidth="1"/>
    <col min="9" max="9" width="16.44140625" style="2" customWidth="1"/>
    <col min="10" max="16384" width="9.109375" style="2"/>
  </cols>
  <sheetData>
    <row r="2" spans="2:14" ht="43.2" customHeight="1" x14ac:dyDescent="0.3">
      <c r="B2" s="245" t="s">
        <v>207</v>
      </c>
      <c r="C2" s="245"/>
      <c r="D2" s="245"/>
      <c r="E2" s="245"/>
      <c r="F2" s="245"/>
      <c r="G2" s="245"/>
      <c r="H2" s="245"/>
      <c r="I2" s="245"/>
    </row>
    <row r="3" spans="2:14" s="191" customFormat="1" ht="30.6" x14ac:dyDescent="0.3">
      <c r="B3" s="198"/>
      <c r="C3" s="197"/>
      <c r="D3" s="196" t="s">
        <v>184</v>
      </c>
      <c r="E3" s="196" t="s">
        <v>193</v>
      </c>
      <c r="F3" s="195"/>
      <c r="G3" s="194" t="s">
        <v>185</v>
      </c>
      <c r="H3" s="193"/>
      <c r="I3" s="192" t="s">
        <v>204</v>
      </c>
    </row>
    <row r="4" spans="2:14" x14ac:dyDescent="0.25">
      <c r="B4" s="199"/>
      <c r="C4" s="199"/>
      <c r="D4" s="190"/>
      <c r="E4" s="189"/>
      <c r="G4" s="188"/>
      <c r="H4" s="188"/>
      <c r="I4" s="186"/>
    </row>
    <row r="5" spans="2:14" ht="16.8" x14ac:dyDescent="0.25">
      <c r="B5" s="84" t="s">
        <v>45</v>
      </c>
      <c r="C5" s="199" t="s">
        <v>6</v>
      </c>
      <c r="D5" s="96">
        <f>'Hop Production'!$E$25</f>
        <v>9235.25</v>
      </c>
      <c r="E5" s="96">
        <f>D5/$D$15</f>
        <v>6.4133680555555559</v>
      </c>
      <c r="F5" s="187" t="s">
        <v>219</v>
      </c>
      <c r="G5" s="201"/>
      <c r="H5" s="202"/>
      <c r="I5" s="201"/>
    </row>
    <row r="6" spans="2:14" x14ac:dyDescent="0.25">
      <c r="B6" s="199"/>
      <c r="C6" s="199"/>
      <c r="D6" s="96"/>
      <c r="E6" s="96"/>
      <c r="F6" s="203"/>
      <c r="G6" s="204"/>
      <c r="H6" s="204"/>
      <c r="I6" s="204"/>
    </row>
    <row r="7" spans="2:14" ht="16.8" x14ac:dyDescent="0.25">
      <c r="B7" s="205" t="s">
        <v>46</v>
      </c>
      <c r="C7" s="199" t="s">
        <v>221</v>
      </c>
      <c r="D7" s="206">
        <f>'Hop Production'!$E$25+'Hop Production'!$E$30+'Hop Production'!$E$31+'Hop Production'!$E$34+'Hop Production'!$E$35+'Hop Production'!$E$36</f>
        <v>10010.25</v>
      </c>
      <c r="E7" s="96">
        <f>D7/$D$15</f>
        <v>6.9515624999999996</v>
      </c>
      <c r="F7" s="187" t="s">
        <v>186</v>
      </c>
      <c r="G7" s="201"/>
      <c r="H7" s="202"/>
      <c r="I7" s="201"/>
      <c r="J7" s="207"/>
      <c r="K7" s="207"/>
      <c r="L7" s="207"/>
      <c r="M7" s="207"/>
      <c r="N7" s="207"/>
    </row>
    <row r="8" spans="2:14" ht="41.4" x14ac:dyDescent="0.25">
      <c r="B8" s="199"/>
      <c r="C8" s="208" t="s">
        <v>192</v>
      </c>
      <c r="D8" s="96"/>
      <c r="E8" s="96"/>
      <c r="F8" s="203"/>
      <c r="G8" s="204"/>
      <c r="H8" s="204"/>
      <c r="I8" s="204"/>
    </row>
    <row r="9" spans="2:14" x14ac:dyDescent="0.25">
      <c r="B9" s="199"/>
      <c r="C9" s="199"/>
      <c r="D9" s="96"/>
      <c r="E9" s="96"/>
      <c r="F9" s="203"/>
      <c r="G9" s="204"/>
      <c r="H9" s="204"/>
      <c r="I9" s="204"/>
    </row>
    <row r="10" spans="2:14" ht="16.8" x14ac:dyDescent="0.25">
      <c r="B10" s="205" t="s">
        <v>47</v>
      </c>
      <c r="C10" s="209" t="s">
        <v>188</v>
      </c>
      <c r="D10" s="206">
        <f>$D$7+'Hop Production'!$E$28</f>
        <v>11031.856782106783</v>
      </c>
      <c r="E10" s="96">
        <f>D10/$D$15</f>
        <v>7.6610116542408218</v>
      </c>
      <c r="F10" s="187" t="s">
        <v>187</v>
      </c>
      <c r="G10" s="201"/>
      <c r="H10" s="202"/>
      <c r="I10" s="201"/>
      <c r="J10" s="207"/>
      <c r="K10" s="207"/>
      <c r="L10" s="207"/>
      <c r="M10" s="207"/>
      <c r="N10" s="207"/>
    </row>
    <row r="11" spans="2:14" x14ac:dyDescent="0.25">
      <c r="B11" s="199"/>
      <c r="C11" s="210"/>
      <c r="D11" s="96"/>
      <c r="E11" s="96"/>
      <c r="F11" s="203"/>
      <c r="G11" s="204"/>
      <c r="H11" s="204"/>
      <c r="I11" s="204"/>
      <c r="J11" s="207"/>
      <c r="K11" s="207"/>
      <c r="L11" s="207"/>
      <c r="M11" s="207"/>
      <c r="N11" s="207"/>
    </row>
    <row r="12" spans="2:14" ht="16.8" x14ac:dyDescent="0.25">
      <c r="B12" s="84" t="s">
        <v>48</v>
      </c>
      <c r="C12" s="199" t="s">
        <v>189</v>
      </c>
      <c r="D12" s="211"/>
      <c r="E12" s="96"/>
      <c r="G12" s="212"/>
      <c r="H12" s="212"/>
      <c r="I12" s="212"/>
      <c r="J12" s="207"/>
      <c r="K12" s="207"/>
      <c r="L12" s="207"/>
      <c r="M12" s="207"/>
      <c r="N12" s="207"/>
    </row>
    <row r="13" spans="2:14" ht="30.6" x14ac:dyDescent="0.25">
      <c r="B13" s="199"/>
      <c r="C13" s="208" t="s">
        <v>225</v>
      </c>
      <c r="D13" s="96">
        <f>'Hop Production'!E40</f>
        <v>14753.148517000531</v>
      </c>
      <c r="E13" s="96">
        <f>D13/$D$15</f>
        <v>10.245242025694813</v>
      </c>
      <c r="F13" s="187" t="s">
        <v>190</v>
      </c>
      <c r="G13" s="201"/>
      <c r="H13" s="202"/>
      <c r="I13" s="201"/>
      <c r="J13" s="207"/>
      <c r="K13" s="207"/>
      <c r="L13" s="207"/>
      <c r="M13" s="207"/>
      <c r="N13" s="207"/>
    </row>
    <row r="14" spans="2:14" ht="16.8" x14ac:dyDescent="0.25">
      <c r="B14" s="213"/>
      <c r="C14" s="214"/>
      <c r="D14" s="215"/>
      <c r="E14" s="216"/>
      <c r="F14" s="217"/>
      <c r="G14" s="218"/>
      <c r="H14" s="218"/>
      <c r="I14" s="218"/>
      <c r="J14" s="207"/>
      <c r="K14" s="207"/>
      <c r="L14" s="207"/>
      <c r="M14" s="207"/>
      <c r="N14" s="207"/>
    </row>
    <row r="15" spans="2:14" x14ac:dyDescent="0.25">
      <c r="B15" s="112" t="s">
        <v>200</v>
      </c>
      <c r="D15" s="225">
        <f>'Hop Production'!E5</f>
        <v>1440</v>
      </c>
    </row>
    <row r="16" spans="2:14" x14ac:dyDescent="0.25">
      <c r="B16" s="112" t="s">
        <v>199</v>
      </c>
    </row>
    <row r="17" spans="2:14" ht="15.6" customHeight="1" x14ac:dyDescent="0.25">
      <c r="B17" s="244" t="s">
        <v>201</v>
      </c>
      <c r="C17" s="244"/>
      <c r="D17" s="244"/>
      <c r="E17" s="244"/>
      <c r="F17" s="244"/>
      <c r="G17" s="244"/>
      <c r="H17" s="244"/>
      <c r="I17" s="244"/>
    </row>
    <row r="18" spans="2:14" x14ac:dyDescent="0.25">
      <c r="B18" s="244" t="s">
        <v>220</v>
      </c>
      <c r="C18" s="244"/>
      <c r="D18" s="244"/>
      <c r="E18" s="244"/>
      <c r="F18" s="244"/>
      <c r="G18" s="244"/>
      <c r="H18" s="244"/>
      <c r="I18" s="244"/>
    </row>
    <row r="19" spans="2:14" x14ac:dyDescent="0.25">
      <c r="B19" s="244" t="s">
        <v>222</v>
      </c>
      <c r="C19" s="244"/>
      <c r="D19" s="244"/>
      <c r="E19" s="244"/>
      <c r="F19" s="244"/>
      <c r="G19" s="244"/>
      <c r="H19" s="244"/>
      <c r="I19" s="244"/>
    </row>
    <row r="20" spans="2:14" x14ac:dyDescent="0.25">
      <c r="B20" s="244" t="s">
        <v>223</v>
      </c>
      <c r="C20" s="244"/>
      <c r="D20" s="244"/>
      <c r="E20" s="244"/>
      <c r="F20" s="244"/>
      <c r="G20" s="244"/>
      <c r="H20" s="244"/>
      <c r="I20" s="244"/>
      <c r="J20" s="207"/>
      <c r="K20" s="207"/>
      <c r="L20" s="207"/>
      <c r="M20" s="207"/>
      <c r="N20" s="207"/>
    </row>
    <row r="21" spans="2:14" x14ac:dyDescent="0.25">
      <c r="B21" s="244" t="s">
        <v>224</v>
      </c>
      <c r="C21" s="244"/>
      <c r="D21" s="244"/>
      <c r="E21" s="244"/>
      <c r="F21" s="244"/>
      <c r="G21" s="244"/>
      <c r="H21" s="244"/>
      <c r="I21" s="244"/>
      <c r="J21" s="207"/>
      <c r="K21" s="207"/>
      <c r="L21" s="207"/>
      <c r="M21" s="207"/>
      <c r="N21" s="207"/>
    </row>
    <row r="22" spans="2:14" x14ac:dyDescent="0.25">
      <c r="B22" s="244" t="s">
        <v>226</v>
      </c>
      <c r="C22" s="244"/>
      <c r="D22" s="244"/>
      <c r="E22" s="244"/>
      <c r="F22" s="244"/>
      <c r="G22" s="244"/>
      <c r="H22" s="244"/>
      <c r="I22" s="244"/>
    </row>
    <row r="23" spans="2:14" ht="34.799999999999997" customHeight="1" x14ac:dyDescent="0.25">
      <c r="B23" s="244" t="s">
        <v>191</v>
      </c>
      <c r="C23" s="244"/>
      <c r="D23" s="244"/>
      <c r="E23" s="244"/>
      <c r="F23" s="244"/>
      <c r="G23" s="244"/>
      <c r="H23" s="244"/>
      <c r="I23" s="244"/>
      <c r="J23" s="207"/>
      <c r="K23" s="207"/>
      <c r="L23" s="207"/>
      <c r="M23" s="207"/>
      <c r="N23" s="207"/>
    </row>
    <row r="24" spans="2:14" x14ac:dyDescent="0.25">
      <c r="B24" s="200"/>
    </row>
    <row r="25" spans="2:14" x14ac:dyDescent="0.25">
      <c r="B25" s="219"/>
    </row>
    <row r="26" spans="2:14" x14ac:dyDescent="0.25">
      <c r="B26" s="112"/>
    </row>
  </sheetData>
  <protectedRanges>
    <protectedRange sqref="D15" name="Yield"/>
    <protectedRange sqref="G5:I13" name="Cost and breakeven"/>
  </protectedRanges>
  <mergeCells count="8">
    <mergeCell ref="B23:I23"/>
    <mergeCell ref="B19:I19"/>
    <mergeCell ref="B2:I2"/>
    <mergeCell ref="B17:I17"/>
    <mergeCell ref="B22:I22"/>
    <mergeCell ref="B18:I18"/>
    <mergeCell ref="B20:I20"/>
    <mergeCell ref="B21:I21"/>
  </mergeCells>
  <pageMargins left="0.7" right="0.7" top="0.75" bottom="0.75" header="0.3" footer="0.3"/>
  <ignoredErrors>
    <ignoredError sqref="B5:B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2"/>
  <sheetViews>
    <sheetView workbookViewId="0">
      <selection activeCell="B2" sqref="B2:H2"/>
    </sheetView>
  </sheetViews>
  <sheetFormatPr defaultColWidth="9.109375" defaultRowHeight="13.8" x14ac:dyDescent="0.25"/>
  <cols>
    <col min="1" max="1" width="5.6640625" style="12" customWidth="1"/>
    <col min="2" max="2" width="15.5546875" style="12" customWidth="1"/>
    <col min="3" max="3" width="13.44140625" style="12" customWidth="1"/>
    <col min="4" max="4" width="12.88671875" style="12" customWidth="1"/>
    <col min="5" max="5" width="12" style="12" customWidth="1"/>
    <col min="6" max="7" width="12.6640625" style="12" customWidth="1"/>
    <col min="8" max="8" width="12.5546875" style="12" customWidth="1"/>
    <col min="9" max="9" width="2.6640625" style="12" customWidth="1"/>
    <col min="10" max="16384" width="9.109375" style="12"/>
  </cols>
  <sheetData>
    <row r="2" spans="2:8" ht="38.4" customHeight="1" x14ac:dyDescent="0.3">
      <c r="B2" s="246" t="s">
        <v>211</v>
      </c>
      <c r="C2" s="246"/>
      <c r="D2" s="246"/>
      <c r="E2" s="246"/>
      <c r="F2" s="246"/>
      <c r="G2" s="246"/>
      <c r="H2" s="246"/>
    </row>
    <row r="3" spans="2:8" ht="16.8" x14ac:dyDescent="0.25">
      <c r="B3" s="247" t="s">
        <v>159</v>
      </c>
      <c r="C3" s="249" t="s">
        <v>160</v>
      </c>
      <c r="D3" s="249"/>
      <c r="E3" s="249"/>
      <c r="F3" s="249"/>
      <c r="G3" s="249"/>
      <c r="H3" s="249"/>
    </row>
    <row r="4" spans="2:8" ht="16.95" customHeight="1" x14ac:dyDescent="0.25">
      <c r="B4" s="248"/>
      <c r="C4" s="223">
        <v>9.9600000000000009</v>
      </c>
      <c r="D4" s="223">
        <v>10.26</v>
      </c>
      <c r="E4" s="223">
        <v>10.56</v>
      </c>
      <c r="F4" s="223">
        <v>10.86</v>
      </c>
      <c r="G4" s="223">
        <v>11.16</v>
      </c>
      <c r="H4" s="223">
        <v>11.46</v>
      </c>
    </row>
    <row r="5" spans="2:8" x14ac:dyDescent="0.25">
      <c r="B5" s="174">
        <f>B6-220</f>
        <v>1220</v>
      </c>
      <c r="C5" s="66">
        <f>C$4*$B5+('Hop Production'!$E$6*'Hop Production'!$E$9)-(SUM('Hop Production'!$E$13:$E$23)*(1+'Price&amp;Yield Analysis'!$C$10*0.5))-'Hop Production'!$E$38</f>
        <v>-2601.94851700053</v>
      </c>
      <c r="D5" s="66">
        <f>D$4*$B5+('Hop Production'!$E$6*'Hop Production'!$E$9)-(SUM('Hop Production'!$E$13:$E$23)*(1+'Price&amp;Yield Analysis'!$C$10*0.5))-'Hop Production'!$E$38</f>
        <v>-2235.9485170005319</v>
      </c>
      <c r="E5" s="66">
        <f>E$4*$B5+('Hop Production'!$E$6*'Hop Production'!$E$9)-(SUM('Hop Production'!$E$13:$E$23)*(1+'Price&amp;Yield Analysis'!$C$10*0.5))-'Hop Production'!$E$38</f>
        <v>-1869.94851700053</v>
      </c>
      <c r="F5" s="66">
        <f>F$4*$B5+('Hop Production'!$E$6*'Hop Production'!$E$9)-(SUM('Hop Production'!$E$13:$E$23)*(1+'Price&amp;Yield Analysis'!$C$10*0.5))-'Hop Production'!$E$38</f>
        <v>-1503.9485170005319</v>
      </c>
      <c r="G5" s="66">
        <f>G$4*$B5+('Hop Production'!$E$6*'Hop Production'!$E$9)-(SUM('Hop Production'!$E$13:$E$23)*(1+'Price&amp;Yield Analysis'!$C$10*0.5))-'Hop Production'!$E$38</f>
        <v>-1137.94851700053</v>
      </c>
      <c r="H5" s="66">
        <f>H$4*$B5+('Hop Production'!$E$6*'Hop Production'!$E$9)-(SUM('Hop Production'!$E$13:$E$23)*(1+'Price&amp;Yield Analysis'!$C$10*0.5))-'Hop Production'!$E$38</f>
        <v>-771.94851700053005</v>
      </c>
    </row>
    <row r="6" spans="2:8" x14ac:dyDescent="0.25">
      <c r="B6" s="174">
        <f>B7-220</f>
        <v>1440</v>
      </c>
      <c r="C6" s="66">
        <f>C$4*$B6+('Hop Production'!$E$6*'Hop Production'!$E$9)-(SUM('Hop Production'!$E$13:$E$23)*(1+'Price&amp;Yield Analysis'!$C$10*0.5))-'Hop Production'!$E$38</f>
        <v>-410.74851700052932</v>
      </c>
      <c r="D6" s="67">
        <f>D$4*$B6+('Hop Production'!$E$6*'Hop Production'!$E$9)-(SUM('Hop Production'!$E$13:$E$23)*(1+'Price&amp;Yield Analysis'!$C$10*0.5))-'Hop Production'!$E$38</f>
        <v>21.251482999468863</v>
      </c>
      <c r="E6" s="67">
        <f>E$4*$B6+('Hop Production'!$E$6*'Hop Production'!$E$9)-(SUM('Hop Production'!$E$13:$E$23)*(1+'Price&amp;Yield Analysis'!$C$10*0.5))-'Hop Production'!$E$38</f>
        <v>453.25148299947068</v>
      </c>
      <c r="F6" s="67">
        <f>F$4*$B6+('Hop Production'!$E$6*'Hop Production'!$E$9)-(SUM('Hop Production'!$E$13:$E$23)*(1+'Price&amp;Yield Analysis'!$C$10*0.5))-'Hop Production'!$E$38</f>
        <v>885.25148299946886</v>
      </c>
      <c r="G6" s="67">
        <f>G$4*$B6+('Hop Production'!$E$6*'Hop Production'!$E$9)-(SUM('Hop Production'!$E$13:$E$23)*(1+'Price&amp;Yield Analysis'!$C$10*0.5))-'Hop Production'!$E$38</f>
        <v>1317.2514829994689</v>
      </c>
      <c r="H6" s="67">
        <f>H$4*$B6+('Hop Production'!$E$6*'Hop Production'!$E$9)-(SUM('Hop Production'!$E$13:$E$23)*(1+'Price&amp;Yield Analysis'!$C$10*0.5))-'Hop Production'!$E$38</f>
        <v>1749.2514829994707</v>
      </c>
    </row>
    <row r="7" spans="2:8" x14ac:dyDescent="0.25">
      <c r="B7" s="174">
        <f>B8-220</f>
        <v>1660</v>
      </c>
      <c r="C7" s="67">
        <f>C$4*$B7+('Hop Production'!$E$6*'Hop Production'!$E$9)-(SUM('Hop Production'!$E$13:$E$23)*(1+'Price&amp;Yield Analysis'!$C$10*0.5))-'Hop Production'!$E$38</f>
        <v>1780.4514829994714</v>
      </c>
      <c r="D7" s="67">
        <f>D$4*$B7+('Hop Production'!$E$6*'Hop Production'!$E$9)-(SUM('Hop Production'!$E$13:$E$23)*(1+'Price&amp;Yield Analysis'!$C$10*0.5))-'Hop Production'!$E$38</f>
        <v>2278.4514829994678</v>
      </c>
      <c r="E7" s="67">
        <f>E$4*$B7+('Hop Production'!$E$6*'Hop Production'!$E$9)-(SUM('Hop Production'!$E$13:$E$23)*(1+'Price&amp;Yield Analysis'!$C$10*0.5))-'Hop Production'!$E$38</f>
        <v>2776.4514829994714</v>
      </c>
      <c r="F7" s="67">
        <f>F$4*$B7+('Hop Production'!$E$6*'Hop Production'!$E$9)-(SUM('Hop Production'!$E$13:$E$23)*(1+'Price&amp;Yield Analysis'!$C$10*0.5))-'Hop Production'!$E$38</f>
        <v>3274.4514829994678</v>
      </c>
      <c r="G7" s="67">
        <f>G$4*$B7+('Hop Production'!$E$6*'Hop Production'!$E$9)-(SUM('Hop Production'!$E$13:$E$23)*(1+'Price&amp;Yield Analysis'!$C$10*0.5))-'Hop Production'!$E$38</f>
        <v>3772.4514829994678</v>
      </c>
      <c r="H7" s="67">
        <f>H$4*$B7+('Hop Production'!$E$6*'Hop Production'!$E$9)-(SUM('Hop Production'!$E$13:$E$23)*(1+'Price&amp;Yield Analysis'!$C$10*0.5))-'Hop Production'!$E$38</f>
        <v>4270.4514829994714</v>
      </c>
    </row>
    <row r="8" spans="2:8" x14ac:dyDescent="0.25">
      <c r="B8" s="174">
        <v>1880</v>
      </c>
      <c r="C8" s="67">
        <f>C$4*$B8+('Hop Production'!$E$6*'Hop Production'!$E$9)-(SUM('Hop Production'!$E$13:$E$23)*(1+'Price&amp;Yield Analysis'!$C$10*0.5))-'Hop Production'!$E$38</f>
        <v>3971.6514829994721</v>
      </c>
      <c r="D8" s="67">
        <f>D$4*$B8+('Hop Production'!$E$6*'Hop Production'!$E$9)-(SUM('Hop Production'!$E$13:$E$23)*(1+'Price&amp;Yield Analysis'!$C$10*0.5))-'Hop Production'!$E$38</f>
        <v>4535.6514829994685</v>
      </c>
      <c r="E8" s="67">
        <f>E$4*$B8+('Hop Production'!$E$6*'Hop Production'!$E$9)-(SUM('Hop Production'!$E$13:$E$23)*(1+'Price&amp;Yield Analysis'!$C$10*0.5))-'Hop Production'!$E$38</f>
        <v>5099.6514829994685</v>
      </c>
      <c r="F8" s="67">
        <f>F$4*$B8+('Hop Production'!$E$6*'Hop Production'!$E$9)-(SUM('Hop Production'!$E$13:$E$23)*(1+'Price&amp;Yield Analysis'!$C$10*0.5))-'Hop Production'!$E$38</f>
        <v>5663.6514829994685</v>
      </c>
      <c r="G8" s="67">
        <f>G$4*$B8+('Hop Production'!$E$6*'Hop Production'!$E$9)-(SUM('Hop Production'!$E$13:$E$23)*(1+'Price&amp;Yield Analysis'!$C$10*0.5))-'Hop Production'!$E$38</f>
        <v>6227.6514829994685</v>
      </c>
      <c r="H8" s="67">
        <f>H$4*$B8+('Hop Production'!$E$6*'Hop Production'!$E$9)-(SUM('Hop Production'!$E$13:$E$23)*(1+'Price&amp;Yield Analysis'!$C$10*0.5))-'Hop Production'!$E$38</f>
        <v>6791.6514829994721</v>
      </c>
    </row>
    <row r="9" spans="2:8" x14ac:dyDescent="0.25">
      <c r="B9" s="174">
        <f>B8+220</f>
        <v>2100</v>
      </c>
      <c r="C9" s="67">
        <f>C$4*$B9+('Hop Production'!$E$6*'Hop Production'!$E$9)-(SUM('Hop Production'!$E$13:$E$23)*(1+'Price&amp;Yield Analysis'!$C$10*0.5))-'Hop Production'!$E$38</f>
        <v>6162.8514829994692</v>
      </c>
      <c r="D9" s="67">
        <f>D$4*$B9+('Hop Production'!$E$6*'Hop Production'!$E$9)-(SUM('Hop Production'!$E$13:$E$23)*(1+'Price&amp;Yield Analysis'!$C$10*0.5))-'Hop Production'!$E$38</f>
        <v>6792.8514829994692</v>
      </c>
      <c r="E9" s="67">
        <f>E$4*$B9+('Hop Production'!$E$6*'Hop Production'!$E$9)-(SUM('Hop Production'!$E$13:$E$23)*(1+'Price&amp;Yield Analysis'!$C$10*0.5))-'Hop Production'!$E$38</f>
        <v>7422.8514829994692</v>
      </c>
      <c r="F9" s="67">
        <f>F$4*$B9+('Hop Production'!$E$6*'Hop Production'!$E$9)-(SUM('Hop Production'!$E$13:$E$23)*(1+'Price&amp;Yield Analysis'!$C$10*0.5))-'Hop Production'!$E$38</f>
        <v>8052.8514829994692</v>
      </c>
      <c r="G9" s="67">
        <f>G$4*$B9+('Hop Production'!$E$6*'Hop Production'!$E$9)-(SUM('Hop Production'!$E$13:$E$23)*(1+'Price&amp;Yield Analysis'!$C$10*0.5))-'Hop Production'!$E$38</f>
        <v>8682.8514829994692</v>
      </c>
      <c r="H9" s="67">
        <f>H$4*$B9+('Hop Production'!$E$6*'Hop Production'!$E$9)-(SUM('Hop Production'!$E$13:$E$23)*(1+'Price&amp;Yield Analysis'!$C$10*0.5))-'Hop Production'!$E$38</f>
        <v>9312.8514829994692</v>
      </c>
    </row>
    <row r="10" spans="2:8" x14ac:dyDescent="0.25">
      <c r="B10" s="68" t="s">
        <v>117</v>
      </c>
      <c r="C10" s="175">
        <v>0.05</v>
      </c>
      <c r="D10" s="68"/>
      <c r="E10" s="68"/>
      <c r="F10" s="68"/>
      <c r="G10" s="68"/>
      <c r="H10" s="68"/>
    </row>
    <row r="11" spans="2:8" x14ac:dyDescent="0.25">
      <c r="B11" s="69" t="s">
        <v>118</v>
      </c>
      <c r="C11" s="70"/>
      <c r="D11" s="11"/>
    </row>
    <row r="12" spans="2:8" x14ac:dyDescent="0.25">
      <c r="B12" s="69" t="s">
        <v>126</v>
      </c>
      <c r="C12" s="70"/>
      <c r="D12" s="11"/>
    </row>
    <row r="13" spans="2:8" x14ac:dyDescent="0.25">
      <c r="B13" s="71" t="s">
        <v>183</v>
      </c>
    </row>
    <row r="14" spans="2:8" x14ac:dyDescent="0.25">
      <c r="B14" s="71" t="s">
        <v>127</v>
      </c>
      <c r="C14" s="72"/>
      <c r="F14" s="73"/>
    </row>
    <row r="18" spans="2:2" x14ac:dyDescent="0.25">
      <c r="B18" s="220"/>
    </row>
    <row r="19" spans="2:2" x14ac:dyDescent="0.25">
      <c r="B19" s="220"/>
    </row>
    <row r="20" spans="2:2" x14ac:dyDescent="0.25">
      <c r="B20" s="220"/>
    </row>
    <row r="21" spans="2:2" x14ac:dyDescent="0.25">
      <c r="B21" s="220"/>
    </row>
    <row r="22" spans="2:2" x14ac:dyDescent="0.25">
      <c r="B22" s="220"/>
    </row>
  </sheetData>
  <protectedRanges>
    <protectedRange sqref="A1:XFD2 C5:H9 A11:XFD24" name="Range1"/>
  </protectedRanges>
  <customSheetViews>
    <customSheetView guid="{4DF746F6-C3F2-4BEF-B84D-60D120277636}">
      <selection activeCell="B3" sqref="B3:B4"/>
      <pageMargins left="0.7" right="0.7" top="0.75" bottom="0.75" header="0.3" footer="0.3"/>
    </customSheetView>
    <customSheetView guid="{76B766A5-443C-4C54-86C8-F5C661F06BFC}">
      <selection activeCell="C3" sqref="C3:H3"/>
      <pageMargins left="0.7" right="0.7" top="0.75" bottom="0.75" header="0.3" footer="0.3"/>
    </customSheetView>
  </customSheetViews>
  <mergeCells count="3">
    <mergeCell ref="B2:H2"/>
    <mergeCell ref="B3:B4"/>
    <mergeCell ref="C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51"/>
  <sheetViews>
    <sheetView workbookViewId="0">
      <selection activeCell="B3" sqref="B3:B4"/>
    </sheetView>
  </sheetViews>
  <sheetFormatPr defaultColWidth="9.109375" defaultRowHeight="13.8" x14ac:dyDescent="0.25"/>
  <cols>
    <col min="1" max="1" width="5.6640625" style="12" customWidth="1"/>
    <col min="2" max="2" width="31.44140625" style="12" customWidth="1"/>
    <col min="3" max="3" width="13.109375" style="74" customWidth="1"/>
    <col min="4" max="5" width="15.109375" style="12" customWidth="1"/>
    <col min="6" max="6" width="12.88671875" style="12" customWidth="1"/>
    <col min="7" max="7" width="12" style="12" customWidth="1"/>
    <col min="8" max="8" width="13.6640625" style="12" customWidth="1"/>
    <col min="9" max="9" width="11.33203125" style="12" customWidth="1"/>
    <col min="10" max="11" width="9.109375" style="12"/>
    <col min="12" max="12" width="15.6640625" style="12" bestFit="1" customWidth="1"/>
    <col min="13" max="16384" width="9.109375" style="12"/>
  </cols>
  <sheetData>
    <row r="1" spans="2:10" ht="15" customHeight="1" x14ac:dyDescent="0.25"/>
    <row r="2" spans="2:10" ht="19.5" customHeight="1" x14ac:dyDescent="0.3">
      <c r="B2" s="254" t="s">
        <v>208</v>
      </c>
      <c r="C2" s="254"/>
      <c r="D2" s="254"/>
      <c r="E2" s="254"/>
      <c r="F2" s="254"/>
      <c r="G2" s="254"/>
      <c r="H2" s="254"/>
      <c r="I2" s="254"/>
    </row>
    <row r="3" spans="2:10" ht="25.5" customHeight="1" x14ac:dyDescent="0.25">
      <c r="B3" s="255" t="s">
        <v>98</v>
      </c>
      <c r="C3" s="251" t="s">
        <v>67</v>
      </c>
      <c r="D3" s="251" t="s">
        <v>140</v>
      </c>
      <c r="E3" s="251" t="s">
        <v>68</v>
      </c>
      <c r="F3" s="251" t="s">
        <v>69</v>
      </c>
      <c r="G3" s="251" t="s">
        <v>141</v>
      </c>
      <c r="H3" s="251" t="s">
        <v>95</v>
      </c>
      <c r="I3" s="251" t="s">
        <v>96</v>
      </c>
    </row>
    <row r="4" spans="2:10" ht="21.75" customHeight="1" x14ac:dyDescent="0.25">
      <c r="B4" s="256"/>
      <c r="C4" s="252"/>
      <c r="D4" s="252"/>
      <c r="E4" s="252"/>
      <c r="F4" s="252"/>
      <c r="G4" s="252"/>
      <c r="H4" s="252"/>
      <c r="I4" s="252"/>
    </row>
    <row r="5" spans="2:10" x14ac:dyDescent="0.25">
      <c r="B5" s="144" t="s">
        <v>93</v>
      </c>
      <c r="C5" s="155">
        <v>1</v>
      </c>
      <c r="D5" s="156">
        <v>150000</v>
      </c>
      <c r="E5" s="157">
        <f>C5*D5</f>
        <v>150000</v>
      </c>
      <c r="F5" s="160">
        <v>30</v>
      </c>
      <c r="G5" s="156">
        <v>0</v>
      </c>
      <c r="H5" s="75">
        <f>(E5-G5)/F5</f>
        <v>5000</v>
      </c>
      <c r="I5" s="75">
        <f t="shared" ref="I5:I36" si="0">((E5+G5)/2)*$C$43</f>
        <v>3375</v>
      </c>
    </row>
    <row r="6" spans="2:10" x14ac:dyDescent="0.25">
      <c r="B6" s="144" t="s">
        <v>161</v>
      </c>
      <c r="C6" s="155">
        <v>1</v>
      </c>
      <c r="D6" s="156">
        <v>75000</v>
      </c>
      <c r="E6" s="157">
        <f>C6*D6</f>
        <v>75000</v>
      </c>
      <c r="F6" s="160">
        <v>30</v>
      </c>
      <c r="G6" s="156">
        <v>0</v>
      </c>
      <c r="H6" s="75">
        <f t="shared" ref="H6:H36" si="1">(E6-G6)/F6</f>
        <v>2500</v>
      </c>
      <c r="I6" s="75">
        <f t="shared" si="0"/>
        <v>1687.5</v>
      </c>
    </row>
    <row r="7" spans="2:10" x14ac:dyDescent="0.25">
      <c r="B7" s="158" t="s">
        <v>70</v>
      </c>
      <c r="C7" s="159">
        <v>2</v>
      </c>
      <c r="D7" s="156">
        <v>120000</v>
      </c>
      <c r="E7" s="157">
        <f>C7*D7</f>
        <v>240000</v>
      </c>
      <c r="F7" s="160">
        <v>10</v>
      </c>
      <c r="G7" s="156">
        <v>30000</v>
      </c>
      <c r="H7" s="75">
        <f t="shared" si="1"/>
        <v>21000</v>
      </c>
      <c r="I7" s="75">
        <f t="shared" si="0"/>
        <v>6075</v>
      </c>
      <c r="J7" s="76"/>
    </row>
    <row r="8" spans="2:10" x14ac:dyDescent="0.25">
      <c r="B8" s="158" t="s">
        <v>71</v>
      </c>
      <c r="C8" s="159">
        <v>3</v>
      </c>
      <c r="D8" s="156">
        <v>80000</v>
      </c>
      <c r="E8" s="157">
        <f t="shared" ref="E8:E36" si="2">C8*D8</f>
        <v>240000</v>
      </c>
      <c r="F8" s="160">
        <v>10</v>
      </c>
      <c r="G8" s="156">
        <v>30000</v>
      </c>
      <c r="H8" s="75">
        <f t="shared" si="1"/>
        <v>21000</v>
      </c>
      <c r="I8" s="75">
        <f t="shared" si="0"/>
        <v>6075</v>
      </c>
      <c r="J8" s="76"/>
    </row>
    <row r="9" spans="2:10" x14ac:dyDescent="0.25">
      <c r="B9" s="158" t="s">
        <v>72</v>
      </c>
      <c r="C9" s="159">
        <v>4</v>
      </c>
      <c r="D9" s="156">
        <v>65000</v>
      </c>
      <c r="E9" s="157">
        <f t="shared" si="2"/>
        <v>260000</v>
      </c>
      <c r="F9" s="160">
        <v>10</v>
      </c>
      <c r="G9" s="156">
        <v>20000</v>
      </c>
      <c r="H9" s="75">
        <f t="shared" si="1"/>
        <v>24000</v>
      </c>
      <c r="I9" s="75">
        <f t="shared" si="0"/>
        <v>6300</v>
      </c>
      <c r="J9" s="76"/>
    </row>
    <row r="10" spans="2:10" x14ac:dyDescent="0.25">
      <c r="B10" s="158" t="s">
        <v>73</v>
      </c>
      <c r="C10" s="159">
        <v>1</v>
      </c>
      <c r="D10" s="156">
        <v>75000</v>
      </c>
      <c r="E10" s="157">
        <f t="shared" si="2"/>
        <v>75000</v>
      </c>
      <c r="F10" s="160">
        <v>15</v>
      </c>
      <c r="G10" s="156">
        <v>15000</v>
      </c>
      <c r="H10" s="75">
        <f t="shared" si="1"/>
        <v>4000</v>
      </c>
      <c r="I10" s="75">
        <f t="shared" si="0"/>
        <v>2025</v>
      </c>
      <c r="J10" s="76"/>
    </row>
    <row r="11" spans="2:10" x14ac:dyDescent="0.25">
      <c r="B11" s="158" t="s">
        <v>74</v>
      </c>
      <c r="C11" s="159">
        <v>1</v>
      </c>
      <c r="D11" s="156">
        <v>65000</v>
      </c>
      <c r="E11" s="157">
        <f t="shared" si="2"/>
        <v>65000</v>
      </c>
      <c r="F11" s="160">
        <v>15</v>
      </c>
      <c r="G11" s="156">
        <v>15000</v>
      </c>
      <c r="H11" s="75">
        <f t="shared" si="1"/>
        <v>3333.3333333333335</v>
      </c>
      <c r="I11" s="75">
        <f t="shared" si="0"/>
        <v>1800</v>
      </c>
      <c r="J11" s="76"/>
    </row>
    <row r="12" spans="2:10" x14ac:dyDescent="0.25">
      <c r="B12" s="158" t="s">
        <v>75</v>
      </c>
      <c r="C12" s="159">
        <v>2</v>
      </c>
      <c r="D12" s="156">
        <v>40000</v>
      </c>
      <c r="E12" s="157">
        <f t="shared" si="2"/>
        <v>80000</v>
      </c>
      <c r="F12" s="160">
        <v>10</v>
      </c>
      <c r="G12" s="156">
        <v>10000</v>
      </c>
      <c r="H12" s="75">
        <f t="shared" si="1"/>
        <v>7000</v>
      </c>
      <c r="I12" s="75">
        <f t="shared" si="0"/>
        <v>2025</v>
      </c>
      <c r="J12" s="76"/>
    </row>
    <row r="13" spans="2:10" x14ac:dyDescent="0.25">
      <c r="B13" s="158" t="s">
        <v>76</v>
      </c>
      <c r="C13" s="159">
        <v>2</v>
      </c>
      <c r="D13" s="156">
        <v>125000</v>
      </c>
      <c r="E13" s="157">
        <f t="shared" si="2"/>
        <v>250000</v>
      </c>
      <c r="F13" s="160">
        <v>15</v>
      </c>
      <c r="G13" s="156">
        <v>24000</v>
      </c>
      <c r="H13" s="75">
        <f t="shared" si="1"/>
        <v>15066.666666666666</v>
      </c>
      <c r="I13" s="75">
        <f t="shared" si="0"/>
        <v>6165</v>
      </c>
      <c r="J13" s="76"/>
    </row>
    <row r="14" spans="2:10" x14ac:dyDescent="0.25">
      <c r="B14" s="158" t="s">
        <v>77</v>
      </c>
      <c r="C14" s="159">
        <v>2</v>
      </c>
      <c r="D14" s="156">
        <v>30000</v>
      </c>
      <c r="E14" s="157">
        <f t="shared" si="2"/>
        <v>60000</v>
      </c>
      <c r="F14" s="160">
        <v>15</v>
      </c>
      <c r="G14" s="156">
        <v>10000</v>
      </c>
      <c r="H14" s="75">
        <f t="shared" si="1"/>
        <v>3333.3333333333335</v>
      </c>
      <c r="I14" s="75">
        <f t="shared" si="0"/>
        <v>1575</v>
      </c>
      <c r="J14" s="76"/>
    </row>
    <row r="15" spans="2:10" x14ac:dyDescent="0.25">
      <c r="B15" s="158" t="s">
        <v>162</v>
      </c>
      <c r="C15" s="159">
        <v>2</v>
      </c>
      <c r="D15" s="156">
        <v>10000</v>
      </c>
      <c r="E15" s="157">
        <f t="shared" si="2"/>
        <v>20000</v>
      </c>
      <c r="F15" s="160">
        <v>15</v>
      </c>
      <c r="G15" s="156">
        <v>1000</v>
      </c>
      <c r="H15" s="75">
        <f t="shared" si="1"/>
        <v>1266.6666666666667</v>
      </c>
      <c r="I15" s="75">
        <f t="shared" si="0"/>
        <v>472.5</v>
      </c>
      <c r="J15" s="76"/>
    </row>
    <row r="16" spans="2:10" x14ac:dyDescent="0.25">
      <c r="B16" s="158" t="s">
        <v>163</v>
      </c>
      <c r="C16" s="159">
        <v>4</v>
      </c>
      <c r="D16" s="156">
        <v>15000</v>
      </c>
      <c r="E16" s="157">
        <f t="shared" si="2"/>
        <v>60000</v>
      </c>
      <c r="F16" s="160">
        <v>20</v>
      </c>
      <c r="G16" s="156">
        <v>4000</v>
      </c>
      <c r="H16" s="75">
        <f t="shared" si="1"/>
        <v>2800</v>
      </c>
      <c r="I16" s="75">
        <f t="shared" si="0"/>
        <v>1440</v>
      </c>
      <c r="J16" s="76"/>
    </row>
    <row r="17" spans="2:13" x14ac:dyDescent="0.25">
      <c r="B17" s="158" t="s">
        <v>78</v>
      </c>
      <c r="C17" s="159">
        <v>1</v>
      </c>
      <c r="D17" s="156">
        <v>15000</v>
      </c>
      <c r="E17" s="157">
        <f t="shared" si="2"/>
        <v>15000</v>
      </c>
      <c r="F17" s="160">
        <v>20</v>
      </c>
      <c r="G17" s="156">
        <v>1500</v>
      </c>
      <c r="H17" s="75">
        <f t="shared" si="1"/>
        <v>675</v>
      </c>
      <c r="I17" s="75">
        <f t="shared" si="0"/>
        <v>371.25</v>
      </c>
      <c r="J17" s="76"/>
    </row>
    <row r="18" spans="2:13" x14ac:dyDescent="0.25">
      <c r="B18" s="158" t="s">
        <v>79</v>
      </c>
      <c r="C18" s="159">
        <v>1</v>
      </c>
      <c r="D18" s="156">
        <v>12000</v>
      </c>
      <c r="E18" s="157">
        <f t="shared" si="2"/>
        <v>12000</v>
      </c>
      <c r="F18" s="160">
        <v>15</v>
      </c>
      <c r="G18" s="156">
        <v>1500</v>
      </c>
      <c r="H18" s="75">
        <f t="shared" si="1"/>
        <v>700</v>
      </c>
      <c r="I18" s="75">
        <f t="shared" si="0"/>
        <v>303.75</v>
      </c>
      <c r="J18" s="76"/>
    </row>
    <row r="19" spans="2:13" x14ac:dyDescent="0.25">
      <c r="B19" s="158" t="s">
        <v>80</v>
      </c>
      <c r="C19" s="159">
        <v>4</v>
      </c>
      <c r="D19" s="156">
        <v>30000</v>
      </c>
      <c r="E19" s="157">
        <f t="shared" si="2"/>
        <v>120000</v>
      </c>
      <c r="F19" s="160">
        <v>7</v>
      </c>
      <c r="G19" s="156">
        <v>16000</v>
      </c>
      <c r="H19" s="75">
        <f t="shared" si="1"/>
        <v>14857.142857142857</v>
      </c>
      <c r="I19" s="75">
        <f t="shared" si="0"/>
        <v>3060</v>
      </c>
      <c r="J19" s="76"/>
    </row>
    <row r="20" spans="2:13" x14ac:dyDescent="0.25">
      <c r="B20" s="158" t="s">
        <v>81</v>
      </c>
      <c r="C20" s="159">
        <v>2</v>
      </c>
      <c r="D20" s="156">
        <v>10000</v>
      </c>
      <c r="E20" s="157">
        <f t="shared" si="2"/>
        <v>20000</v>
      </c>
      <c r="F20" s="160">
        <v>15</v>
      </c>
      <c r="G20" s="156">
        <v>1000</v>
      </c>
      <c r="H20" s="75">
        <f t="shared" si="1"/>
        <v>1266.6666666666667</v>
      </c>
      <c r="I20" s="75">
        <f t="shared" si="0"/>
        <v>472.5</v>
      </c>
      <c r="J20" s="76"/>
    </row>
    <row r="21" spans="2:13" x14ac:dyDescent="0.25">
      <c r="B21" s="158" t="s">
        <v>82</v>
      </c>
      <c r="C21" s="159">
        <v>2</v>
      </c>
      <c r="D21" s="156">
        <v>25000</v>
      </c>
      <c r="E21" s="157">
        <f t="shared" si="2"/>
        <v>50000</v>
      </c>
      <c r="F21" s="160">
        <v>10</v>
      </c>
      <c r="G21" s="156">
        <v>1000</v>
      </c>
      <c r="H21" s="75">
        <f t="shared" si="1"/>
        <v>4900</v>
      </c>
      <c r="I21" s="75">
        <f t="shared" si="0"/>
        <v>1147.5</v>
      </c>
      <c r="J21" s="76"/>
    </row>
    <row r="22" spans="2:13" x14ac:dyDescent="0.25">
      <c r="B22" s="158" t="s">
        <v>83</v>
      </c>
      <c r="C22" s="159">
        <v>1</v>
      </c>
      <c r="D22" s="156">
        <v>5000</v>
      </c>
      <c r="E22" s="157">
        <f t="shared" si="2"/>
        <v>5000</v>
      </c>
      <c r="F22" s="160">
        <v>20</v>
      </c>
      <c r="G22" s="156">
        <v>500</v>
      </c>
      <c r="H22" s="75">
        <f t="shared" si="1"/>
        <v>225</v>
      </c>
      <c r="I22" s="75">
        <f t="shared" si="0"/>
        <v>123.75</v>
      </c>
      <c r="J22" s="76"/>
    </row>
    <row r="23" spans="2:13" ht="16.8" x14ac:dyDescent="0.25">
      <c r="B23" s="158" t="s">
        <v>180</v>
      </c>
      <c r="C23" s="159">
        <v>1</v>
      </c>
      <c r="D23" s="156">
        <v>5000000</v>
      </c>
      <c r="E23" s="157">
        <f t="shared" si="2"/>
        <v>5000000</v>
      </c>
      <c r="F23" s="160">
        <v>30</v>
      </c>
      <c r="G23" s="156">
        <f>D23*0.21</f>
        <v>1050000</v>
      </c>
      <c r="H23" s="75">
        <f t="shared" si="1"/>
        <v>131666.66666666666</v>
      </c>
      <c r="I23" s="75">
        <f t="shared" si="0"/>
        <v>136125</v>
      </c>
      <c r="J23" s="114"/>
      <c r="K23" s="115"/>
      <c r="L23" s="72"/>
      <c r="M23" s="116"/>
    </row>
    <row r="24" spans="2:13" x14ac:dyDescent="0.25">
      <c r="B24" s="158" t="s">
        <v>122</v>
      </c>
      <c r="C24" s="159">
        <v>1</v>
      </c>
      <c r="D24" s="156">
        <v>5000000</v>
      </c>
      <c r="E24" s="157">
        <f t="shared" si="2"/>
        <v>5000000</v>
      </c>
      <c r="F24" s="160">
        <v>30</v>
      </c>
      <c r="G24" s="156">
        <f>D24*0.04</f>
        <v>200000</v>
      </c>
      <c r="H24" s="75">
        <f t="shared" si="1"/>
        <v>160000</v>
      </c>
      <c r="I24" s="75">
        <f t="shared" si="0"/>
        <v>117000</v>
      </c>
      <c r="J24" s="114"/>
      <c r="K24" s="115"/>
      <c r="L24" s="72"/>
      <c r="M24" s="116"/>
    </row>
    <row r="25" spans="2:13" x14ac:dyDescent="0.25">
      <c r="B25" s="158" t="s">
        <v>121</v>
      </c>
      <c r="C25" s="159">
        <v>1</v>
      </c>
      <c r="D25" s="156">
        <v>3000000</v>
      </c>
      <c r="E25" s="157">
        <f t="shared" si="2"/>
        <v>3000000</v>
      </c>
      <c r="F25" s="160">
        <v>30</v>
      </c>
      <c r="G25" s="156">
        <f>D25*0.04</f>
        <v>120000</v>
      </c>
      <c r="H25" s="75">
        <f t="shared" ref="H25" si="3">(E25-G25)/F25</f>
        <v>96000</v>
      </c>
      <c r="I25" s="75">
        <f t="shared" si="0"/>
        <v>70200</v>
      </c>
      <c r="J25" s="114"/>
      <c r="K25" s="115"/>
      <c r="L25" s="72"/>
      <c r="M25" s="116"/>
    </row>
    <row r="26" spans="2:13" x14ac:dyDescent="0.25">
      <c r="B26" s="158" t="s">
        <v>84</v>
      </c>
      <c r="C26" s="159">
        <v>1</v>
      </c>
      <c r="D26" s="156">
        <v>35000</v>
      </c>
      <c r="E26" s="157">
        <f t="shared" si="2"/>
        <v>35000</v>
      </c>
      <c r="F26" s="160">
        <v>10</v>
      </c>
      <c r="G26" s="156">
        <v>500</v>
      </c>
      <c r="H26" s="75">
        <f t="shared" si="1"/>
        <v>3450</v>
      </c>
      <c r="I26" s="75">
        <f t="shared" si="0"/>
        <v>798.75</v>
      </c>
      <c r="J26" s="76"/>
    </row>
    <row r="27" spans="2:13" x14ac:dyDescent="0.25">
      <c r="B27" s="158" t="s">
        <v>85</v>
      </c>
      <c r="C27" s="159">
        <v>2</v>
      </c>
      <c r="D27" s="156">
        <v>25000</v>
      </c>
      <c r="E27" s="157">
        <f t="shared" si="2"/>
        <v>50000</v>
      </c>
      <c r="F27" s="160">
        <v>10</v>
      </c>
      <c r="G27" s="156">
        <v>1000</v>
      </c>
      <c r="H27" s="75">
        <f t="shared" si="1"/>
        <v>4900</v>
      </c>
      <c r="I27" s="75">
        <f t="shared" si="0"/>
        <v>1147.5</v>
      </c>
      <c r="J27" s="76"/>
    </row>
    <row r="28" spans="2:13" x14ac:dyDescent="0.25">
      <c r="B28" s="158" t="s">
        <v>86</v>
      </c>
      <c r="C28" s="159">
        <v>2</v>
      </c>
      <c r="D28" s="156">
        <v>20000</v>
      </c>
      <c r="E28" s="157">
        <f t="shared" si="2"/>
        <v>40000</v>
      </c>
      <c r="F28" s="160">
        <v>10</v>
      </c>
      <c r="G28" s="156">
        <v>1000</v>
      </c>
      <c r="H28" s="75">
        <f t="shared" si="1"/>
        <v>3900</v>
      </c>
      <c r="I28" s="75">
        <f t="shared" si="0"/>
        <v>922.5</v>
      </c>
      <c r="J28" s="76"/>
    </row>
    <row r="29" spans="2:13" x14ac:dyDescent="0.25">
      <c r="B29" s="158" t="s">
        <v>87</v>
      </c>
      <c r="C29" s="159">
        <v>2</v>
      </c>
      <c r="D29" s="156">
        <v>5000</v>
      </c>
      <c r="E29" s="157">
        <f t="shared" si="2"/>
        <v>10000</v>
      </c>
      <c r="F29" s="160">
        <v>10</v>
      </c>
      <c r="G29" s="156">
        <v>2500</v>
      </c>
      <c r="H29" s="75">
        <f t="shared" si="1"/>
        <v>750</v>
      </c>
      <c r="I29" s="75">
        <f t="shared" si="0"/>
        <v>281.25</v>
      </c>
      <c r="J29" s="76"/>
    </row>
    <row r="30" spans="2:13" x14ac:dyDescent="0.25">
      <c r="B30" s="158" t="s">
        <v>88</v>
      </c>
      <c r="C30" s="159">
        <v>1</v>
      </c>
      <c r="D30" s="156">
        <v>70000</v>
      </c>
      <c r="E30" s="157">
        <f t="shared" si="2"/>
        <v>70000</v>
      </c>
      <c r="F30" s="160">
        <v>10</v>
      </c>
      <c r="G30" s="156">
        <v>500</v>
      </c>
      <c r="H30" s="75">
        <f t="shared" si="1"/>
        <v>6950</v>
      </c>
      <c r="I30" s="75">
        <f t="shared" si="0"/>
        <v>1586.25</v>
      </c>
      <c r="J30" s="76"/>
    </row>
    <row r="31" spans="2:13" x14ac:dyDescent="0.25">
      <c r="B31" s="158" t="s">
        <v>89</v>
      </c>
      <c r="C31" s="159">
        <v>2</v>
      </c>
      <c r="D31" s="156">
        <v>45000</v>
      </c>
      <c r="E31" s="157">
        <f t="shared" si="2"/>
        <v>90000</v>
      </c>
      <c r="F31" s="160">
        <v>15</v>
      </c>
      <c r="G31" s="156">
        <v>3000</v>
      </c>
      <c r="H31" s="75">
        <f t="shared" si="1"/>
        <v>5800</v>
      </c>
      <c r="I31" s="75">
        <f t="shared" si="0"/>
        <v>2092.5</v>
      </c>
      <c r="J31" s="76"/>
    </row>
    <row r="32" spans="2:13" x14ac:dyDescent="0.25">
      <c r="B32" s="158" t="s">
        <v>164</v>
      </c>
      <c r="C32" s="159">
        <v>1</v>
      </c>
      <c r="D32" s="156">
        <v>25000</v>
      </c>
      <c r="E32" s="157">
        <f t="shared" si="2"/>
        <v>25000</v>
      </c>
      <c r="F32" s="160">
        <v>15</v>
      </c>
      <c r="G32" s="156">
        <v>750</v>
      </c>
      <c r="H32" s="75">
        <f t="shared" si="1"/>
        <v>1616.6666666666667</v>
      </c>
      <c r="I32" s="75">
        <f t="shared" si="0"/>
        <v>579.375</v>
      </c>
    </row>
    <row r="33" spans="2:11" x14ac:dyDescent="0.25">
      <c r="B33" s="158" t="s">
        <v>165</v>
      </c>
      <c r="C33" s="159">
        <v>1</v>
      </c>
      <c r="D33" s="156">
        <v>15000</v>
      </c>
      <c r="E33" s="157">
        <f t="shared" si="2"/>
        <v>15000</v>
      </c>
      <c r="F33" s="160">
        <v>15</v>
      </c>
      <c r="G33" s="156">
        <v>450</v>
      </c>
      <c r="H33" s="75">
        <f t="shared" si="1"/>
        <v>970</v>
      </c>
      <c r="I33" s="75">
        <f t="shared" si="0"/>
        <v>347.625</v>
      </c>
    </row>
    <row r="34" spans="2:11" ht="27.6" x14ac:dyDescent="0.25">
      <c r="B34" s="158" t="s">
        <v>130</v>
      </c>
      <c r="C34" s="159">
        <v>10</v>
      </c>
      <c r="D34" s="156">
        <v>15000</v>
      </c>
      <c r="E34" s="157">
        <f t="shared" si="2"/>
        <v>150000</v>
      </c>
      <c r="F34" s="160">
        <v>15</v>
      </c>
      <c r="G34" s="156">
        <v>4500</v>
      </c>
      <c r="H34" s="75">
        <f t="shared" si="1"/>
        <v>9700</v>
      </c>
      <c r="I34" s="75">
        <f t="shared" si="0"/>
        <v>3476.25</v>
      </c>
    </row>
    <row r="35" spans="2:11" x14ac:dyDescent="0.25">
      <c r="B35" s="158" t="s">
        <v>131</v>
      </c>
      <c r="C35" s="159">
        <v>1</v>
      </c>
      <c r="D35" s="156">
        <v>50000</v>
      </c>
      <c r="E35" s="157">
        <f t="shared" si="2"/>
        <v>50000</v>
      </c>
      <c r="F35" s="160">
        <v>30</v>
      </c>
      <c r="G35" s="156">
        <v>0</v>
      </c>
      <c r="H35" s="75">
        <f t="shared" si="1"/>
        <v>1666.6666666666667</v>
      </c>
      <c r="I35" s="75">
        <f t="shared" si="0"/>
        <v>1125</v>
      </c>
    </row>
    <row r="36" spans="2:11" x14ac:dyDescent="0.25">
      <c r="B36" s="158" t="s">
        <v>132</v>
      </c>
      <c r="C36" s="159">
        <v>1</v>
      </c>
      <c r="D36" s="156">
        <v>20000</v>
      </c>
      <c r="E36" s="157">
        <f t="shared" si="2"/>
        <v>20000</v>
      </c>
      <c r="F36" s="160">
        <v>30</v>
      </c>
      <c r="G36" s="156">
        <v>0</v>
      </c>
      <c r="H36" s="75">
        <f t="shared" si="1"/>
        <v>666.66666666666663</v>
      </c>
      <c r="I36" s="75">
        <f t="shared" si="0"/>
        <v>450</v>
      </c>
    </row>
    <row r="37" spans="2:11" x14ac:dyDescent="0.25">
      <c r="B37" s="158"/>
      <c r="C37" s="159"/>
      <c r="D37" s="156"/>
      <c r="E37" s="157"/>
      <c r="F37" s="160"/>
      <c r="G37" s="156"/>
      <c r="H37" s="75"/>
      <c r="I37" s="75"/>
    </row>
    <row r="38" spans="2:11" x14ac:dyDescent="0.25">
      <c r="B38" s="158" t="s">
        <v>197</v>
      </c>
      <c r="C38" s="159">
        <v>1</v>
      </c>
      <c r="D38" s="156">
        <f>4150*C44</f>
        <v>2739000</v>
      </c>
      <c r="E38" s="157">
        <f>C38*D38</f>
        <v>2739000</v>
      </c>
      <c r="F38" s="160">
        <v>30</v>
      </c>
      <c r="G38" s="156">
        <v>0</v>
      </c>
      <c r="H38" s="75">
        <f>(E38-G38)/F38</f>
        <v>91300</v>
      </c>
      <c r="I38" s="75">
        <f>((E38+G38)/2)*$C$43</f>
        <v>61627.5</v>
      </c>
    </row>
    <row r="39" spans="2:11" ht="27.6" x14ac:dyDescent="0.25">
      <c r="B39" s="158" t="s">
        <v>198</v>
      </c>
      <c r="C39" s="159">
        <v>1</v>
      </c>
      <c r="D39" s="156">
        <f>1000*C44</f>
        <v>660000</v>
      </c>
      <c r="E39" s="157">
        <f>C39*D39</f>
        <v>660000</v>
      </c>
      <c r="F39" s="160">
        <v>30</v>
      </c>
      <c r="G39" s="156">
        <v>0</v>
      </c>
      <c r="H39" s="75">
        <f>(E39-G39)/F39</f>
        <v>22000</v>
      </c>
      <c r="I39" s="75">
        <f>((E39+G39)/2)*$C$43</f>
        <v>14850</v>
      </c>
    </row>
    <row r="40" spans="2:11" s="11" customFormat="1" x14ac:dyDescent="0.25">
      <c r="B40" s="44"/>
      <c r="C40" s="129"/>
      <c r="D40" s="128"/>
      <c r="E40" s="128"/>
      <c r="F40" s="128"/>
      <c r="G40" s="75"/>
      <c r="H40" s="75"/>
      <c r="I40" s="75"/>
    </row>
    <row r="41" spans="2:11" x14ac:dyDescent="0.25">
      <c r="B41" s="143" t="s">
        <v>90</v>
      </c>
      <c r="C41" s="130"/>
      <c r="D41" s="77"/>
      <c r="E41" s="77">
        <f>SUM(E5:E39)</f>
        <v>18751000</v>
      </c>
      <c r="F41" s="131"/>
      <c r="G41" s="132"/>
      <c r="H41" s="78">
        <f>SUM(H5:H39)</f>
        <v>674260.4761904761</v>
      </c>
      <c r="I41" s="78">
        <f>SUM(I5:I39)</f>
        <v>457103.25</v>
      </c>
    </row>
    <row r="42" spans="2:11" x14ac:dyDescent="0.25">
      <c r="B42" s="133" t="s">
        <v>99</v>
      </c>
      <c r="C42" s="134"/>
      <c r="D42" s="135"/>
      <c r="E42" s="135"/>
      <c r="F42" s="136"/>
      <c r="G42" s="137"/>
      <c r="H42" s="79">
        <f>H41/C44</f>
        <v>1021.606782106782</v>
      </c>
      <c r="I42" s="79">
        <f>I41/C44</f>
        <v>692.5806818181818</v>
      </c>
    </row>
    <row r="43" spans="2:11" x14ac:dyDescent="0.25">
      <c r="B43" s="44" t="s">
        <v>91</v>
      </c>
      <c r="C43" s="161">
        <v>4.4999999999999998E-2</v>
      </c>
      <c r="D43" s="128"/>
      <c r="E43" s="128"/>
      <c r="F43" s="138"/>
      <c r="G43" s="138"/>
      <c r="H43" s="128"/>
      <c r="I43" s="128"/>
    </row>
    <row r="44" spans="2:11" x14ac:dyDescent="0.25">
      <c r="B44" s="139" t="s">
        <v>92</v>
      </c>
      <c r="C44" s="162">
        <v>660</v>
      </c>
      <c r="D44" s="140"/>
      <c r="E44" s="140"/>
      <c r="F44" s="141"/>
      <c r="G44" s="141"/>
      <c r="H44" s="140"/>
      <c r="I44" s="140"/>
    </row>
    <row r="45" spans="2:11" x14ac:dyDescent="0.25">
      <c r="B45" s="142" t="s">
        <v>64</v>
      </c>
      <c r="C45" s="129"/>
      <c r="D45" s="128"/>
      <c r="E45" s="128"/>
      <c r="F45" s="138"/>
      <c r="G45" s="138"/>
      <c r="H45" s="128"/>
      <c r="I45" s="128"/>
    </row>
    <row r="46" spans="2:11" ht="14.25" customHeight="1" x14ac:dyDescent="0.25">
      <c r="B46" s="253" t="s">
        <v>128</v>
      </c>
      <c r="C46" s="253"/>
      <c r="D46" s="253"/>
      <c r="E46" s="253"/>
      <c r="F46" s="253"/>
      <c r="G46" s="253"/>
      <c r="H46" s="118"/>
      <c r="I46" s="118"/>
      <c r="K46" s="11"/>
    </row>
    <row r="47" spans="2:11" ht="12" customHeight="1" x14ac:dyDescent="0.25">
      <c r="B47" s="71" t="s">
        <v>129</v>
      </c>
      <c r="C47" s="119"/>
      <c r="D47" s="64"/>
      <c r="E47" s="64"/>
      <c r="F47" s="64"/>
      <c r="G47" s="64"/>
      <c r="H47" s="64"/>
      <c r="I47" s="64"/>
      <c r="K47" s="11"/>
    </row>
    <row r="48" spans="2:11" ht="33" customHeight="1" x14ac:dyDescent="0.25">
      <c r="B48" s="250" t="s">
        <v>166</v>
      </c>
      <c r="C48" s="250"/>
      <c r="D48" s="250"/>
      <c r="E48" s="250"/>
      <c r="F48" s="250"/>
      <c r="G48" s="250"/>
      <c r="H48" s="250"/>
      <c r="I48" s="250"/>
    </row>
    <row r="51" spans="5:5" x14ac:dyDescent="0.25">
      <c r="E51" s="76"/>
    </row>
  </sheetData>
  <protectedRanges>
    <protectedRange sqref="A1:XFD2 A3:D4 F3:G4 A46:XFD51 A40:D42 A5:A39 F40:G45 A45:D45 A43:B44 D43:D44" name="Range1"/>
    <protectedRange sqref="B5:D39" name="Range1_1"/>
    <protectedRange sqref="F5:G39" name="Range1_1_1"/>
    <protectedRange sqref="C43:C44" name="Range1_2"/>
  </protectedRanges>
  <customSheetViews>
    <customSheetView guid="{4DF746F6-C3F2-4BEF-B84D-60D120277636}" topLeftCell="A25">
      <selection activeCell="B47" sqref="B47:I47"/>
      <pageMargins left="0.7" right="0.7" top="0.75" bottom="0.75" header="0.3" footer="0.3"/>
      <pageSetup orientation="portrait" horizontalDpi="1200" verticalDpi="1200" r:id="rId1"/>
    </customSheetView>
    <customSheetView guid="{76B766A5-443C-4C54-86C8-F5C661F06BFC}" topLeftCell="A28">
      <selection activeCell="B47" sqref="B47:I47"/>
      <pageMargins left="0.7" right="0.7" top="0.75" bottom="0.75" header="0.3" footer="0.3"/>
      <pageSetup orientation="portrait" horizontalDpi="1200" verticalDpi="1200" r:id="rId2"/>
    </customSheetView>
  </customSheetViews>
  <mergeCells count="11">
    <mergeCell ref="B48:I48"/>
    <mergeCell ref="H3:H4"/>
    <mergeCell ref="I3:I4"/>
    <mergeCell ref="B46:G46"/>
    <mergeCell ref="B2:I2"/>
    <mergeCell ref="B3:B4"/>
    <mergeCell ref="D3:D4"/>
    <mergeCell ref="F3:F4"/>
    <mergeCell ref="G3:G4"/>
    <mergeCell ref="C3:C4"/>
    <mergeCell ref="E3:E4"/>
  </mergeCells>
  <pageMargins left="0.7" right="0.7" top="0.75" bottom="0.75" header="0.3" footer="0.3"/>
  <pageSetup orientation="portrait"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0"/>
  <sheetViews>
    <sheetView workbookViewId="0">
      <selection activeCell="B3" sqref="B3"/>
    </sheetView>
  </sheetViews>
  <sheetFormatPr defaultColWidth="9.109375" defaultRowHeight="13.8" x14ac:dyDescent="0.25"/>
  <cols>
    <col min="1" max="1" width="6.6640625" style="4" customWidth="1"/>
    <col min="2" max="2" width="34" style="4" customWidth="1"/>
    <col min="3" max="3" width="13.6640625" style="4" customWidth="1"/>
    <col min="4" max="4" width="15" style="4" customWidth="1"/>
    <col min="5" max="5" width="17.44140625" style="4" customWidth="1"/>
    <col min="6" max="6" width="3.88671875" style="4" customWidth="1"/>
    <col min="7" max="16384" width="9.109375" style="4"/>
  </cols>
  <sheetData>
    <row r="2" spans="1:7" ht="37.5" customHeight="1" x14ac:dyDescent="0.3">
      <c r="B2" s="257" t="s">
        <v>209</v>
      </c>
      <c r="C2" s="257"/>
      <c r="D2" s="257"/>
      <c r="E2" s="257"/>
    </row>
    <row r="3" spans="1:7" ht="18" customHeight="1" x14ac:dyDescent="0.25">
      <c r="A3" s="80"/>
      <c r="B3" s="81"/>
      <c r="C3" s="258" t="s">
        <v>101</v>
      </c>
      <c r="D3" s="258"/>
      <c r="E3" s="259" t="s">
        <v>133</v>
      </c>
    </row>
    <row r="4" spans="1:7" x14ac:dyDescent="0.25">
      <c r="A4" s="80"/>
      <c r="B4" s="82"/>
      <c r="C4" s="83" t="s">
        <v>109</v>
      </c>
      <c r="D4" s="83" t="s">
        <v>100</v>
      </c>
      <c r="E4" s="260"/>
      <c r="G4" s="84"/>
    </row>
    <row r="5" spans="1:7" x14ac:dyDescent="0.25">
      <c r="A5" s="80"/>
      <c r="B5" s="85" t="s">
        <v>102</v>
      </c>
      <c r="C5" s="86"/>
      <c r="D5" s="86"/>
      <c r="E5" s="86"/>
    </row>
    <row r="6" spans="1:7" x14ac:dyDescent="0.25">
      <c r="B6" s="87" t="s">
        <v>107</v>
      </c>
      <c r="C6" s="88">
        <f>15000*660</f>
        <v>9900000</v>
      </c>
      <c r="D6" s="88"/>
    </row>
    <row r="7" spans="1:7" x14ac:dyDescent="0.25">
      <c r="B7" s="87" t="s">
        <v>108</v>
      </c>
      <c r="C7" s="88"/>
      <c r="D7" s="88">
        <f>'App1. Machinery Etc'!E41-'App1. Machinery Etc'!E38</f>
        <v>16012000</v>
      </c>
    </row>
    <row r="8" spans="1:7" x14ac:dyDescent="0.25">
      <c r="B8" s="87" t="s">
        <v>103</v>
      </c>
      <c r="C8" s="88"/>
      <c r="D8" s="88">
        <f>'App1. Machinery Etc'!E38</f>
        <v>2739000</v>
      </c>
    </row>
    <row r="9" spans="1:7" ht="16.8" x14ac:dyDescent="0.25">
      <c r="B9" s="87" t="s">
        <v>134</v>
      </c>
      <c r="C9" s="88">
        <f>Establishment!C27*600</f>
        <v>4857300</v>
      </c>
      <c r="D9" s="88">
        <f>('Hop Production'!D25+'Hop Production'!D30+'Hop Production'!D31+'Hop Production'!D33+'Hop Production'!D34+'Hop Production'!D35+'Hop Production'!D36)*600</f>
        <v>6158610</v>
      </c>
      <c r="E9" s="88">
        <f>('Hop Production'!E25+'Hop Production'!E30+'Hop Production'!E31+'Hop Production'!E33+'Hop Production'!E34+'Hop Production'!E35+'Hop Production'!E36)*600</f>
        <v>6156150</v>
      </c>
    </row>
    <row r="10" spans="1:7" x14ac:dyDescent="0.25">
      <c r="B10" s="89" t="s">
        <v>104</v>
      </c>
      <c r="C10" s="90">
        <f>SUM(C6:C9)</f>
        <v>14757300</v>
      </c>
      <c r="D10" s="90">
        <f>SUM(D6:D9)</f>
        <v>24909610</v>
      </c>
      <c r="E10" s="90">
        <f>SUM(E6:E9)</f>
        <v>6156150</v>
      </c>
    </row>
    <row r="11" spans="1:7" x14ac:dyDescent="0.25">
      <c r="D11" s="90"/>
      <c r="E11" s="90"/>
    </row>
    <row r="12" spans="1:7" x14ac:dyDescent="0.25">
      <c r="B12" s="89" t="s">
        <v>105</v>
      </c>
      <c r="C12" s="90">
        <v>0</v>
      </c>
      <c r="D12" s="90">
        <f>'Hop Production'!D10*600</f>
        <v>7921152.0000000009</v>
      </c>
      <c r="E12" s="90">
        <f>'Hop Production'!E10*600</f>
        <v>9901440</v>
      </c>
    </row>
    <row r="13" spans="1:7" x14ac:dyDescent="0.25">
      <c r="D13" s="90"/>
      <c r="E13" s="90"/>
    </row>
    <row r="14" spans="1:7" x14ac:dyDescent="0.25">
      <c r="B14" s="91" t="s">
        <v>106</v>
      </c>
      <c r="C14" s="92">
        <f>C10-C12</f>
        <v>14757300</v>
      </c>
      <c r="D14" s="92">
        <f>D10-D12</f>
        <v>16988458</v>
      </c>
      <c r="E14" s="92">
        <f>E10-E12</f>
        <v>-3745290</v>
      </c>
    </row>
    <row r="15" spans="1:7" x14ac:dyDescent="0.25">
      <c r="B15" s="93" t="s">
        <v>64</v>
      </c>
    </row>
    <row r="16" spans="1:7" ht="15.6" x14ac:dyDescent="0.25">
      <c r="B16" s="71" t="s">
        <v>135</v>
      </c>
    </row>
    <row r="17" spans="2:6" x14ac:dyDescent="0.25">
      <c r="B17" s="71" t="s">
        <v>136</v>
      </c>
    </row>
    <row r="18" spans="2:6" x14ac:dyDescent="0.25">
      <c r="B18" s="94"/>
    </row>
    <row r="19" spans="2:6" ht="13.2" customHeight="1" x14ac:dyDescent="0.3">
      <c r="B19" s="94"/>
      <c r="E19" s="95"/>
    </row>
    <row r="20" spans="2:6" x14ac:dyDescent="0.25">
      <c r="C20" s="88"/>
      <c r="D20" s="88"/>
    </row>
    <row r="21" spans="2:6" x14ac:dyDescent="0.25">
      <c r="C21" s="96"/>
      <c r="D21" s="88"/>
      <c r="E21" s="97"/>
    </row>
    <row r="22" spans="2:6" x14ac:dyDescent="0.25">
      <c r="D22" s="98"/>
      <c r="E22" s="97"/>
    </row>
    <row r="23" spans="2:6" s="101" customFormat="1" x14ac:dyDescent="0.25">
      <c r="B23" s="99"/>
      <c r="C23" s="88"/>
      <c r="D23" s="100"/>
      <c r="E23" s="100"/>
    </row>
    <row r="24" spans="2:6" x14ac:dyDescent="0.25">
      <c r="E24" s="97"/>
      <c r="F24" s="102"/>
    </row>
    <row r="25" spans="2:6" x14ac:dyDescent="0.25">
      <c r="E25" s="97"/>
    </row>
    <row r="26" spans="2:6" x14ac:dyDescent="0.25">
      <c r="E26" s="97"/>
    </row>
    <row r="27" spans="2:6" x14ac:dyDescent="0.25">
      <c r="E27" s="97"/>
    </row>
    <row r="28" spans="2:6" x14ac:dyDescent="0.25">
      <c r="E28" s="97"/>
    </row>
    <row r="29" spans="2:6" x14ac:dyDescent="0.25">
      <c r="E29" s="103"/>
    </row>
    <row r="30" spans="2:6" x14ac:dyDescent="0.25">
      <c r="E30" s="103"/>
    </row>
  </sheetData>
  <customSheetViews>
    <customSheetView guid="{4DF746F6-C3F2-4BEF-B84D-60D120277636}">
      <pageMargins left="0.7" right="0.7" top="0.75" bottom="0.75" header="0.3" footer="0.3"/>
    </customSheetView>
    <customSheetView guid="{76B766A5-443C-4C54-86C8-F5C661F06BFC}">
      <pageMargins left="0.7" right="0.7" top="0.75" bottom="0.75" header="0.3" footer="0.3"/>
    </customSheetView>
  </customSheetViews>
  <mergeCells count="3">
    <mergeCell ref="B2:E2"/>
    <mergeCell ref="C3:D3"/>
    <mergeCell ref="E3: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workbookViewId="0">
      <selection activeCell="B12" sqref="B12"/>
    </sheetView>
  </sheetViews>
  <sheetFormatPr defaultRowHeight="13.8" x14ac:dyDescent="0.25"/>
  <cols>
    <col min="1" max="1" width="7.6640625" style="105" customWidth="1"/>
    <col min="2" max="2" width="29.6640625" style="105" customWidth="1"/>
    <col min="3" max="3" width="12.88671875" style="105" customWidth="1"/>
    <col min="4" max="4" width="5" style="105" customWidth="1"/>
    <col min="5" max="5" width="5.109375" style="105" customWidth="1"/>
    <col min="6" max="6" width="28.88671875" style="105" customWidth="1"/>
    <col min="7" max="7" width="13" style="105" customWidth="1"/>
    <col min="8" max="256" width="9.109375" style="105"/>
    <col min="257" max="257" width="38.109375" style="105" customWidth="1"/>
    <col min="258" max="258" width="28.5546875" style="105" customWidth="1"/>
    <col min="259" max="259" width="12.88671875" style="105" customWidth="1"/>
    <col min="260" max="260" width="5" style="105" customWidth="1"/>
    <col min="261" max="261" width="5.109375" style="105" customWidth="1"/>
    <col min="262" max="262" width="28.88671875" style="105" customWidth="1"/>
    <col min="263" max="263" width="13" style="105" customWidth="1"/>
    <col min="264" max="512" width="9.109375" style="105"/>
    <col min="513" max="513" width="38.109375" style="105" customWidth="1"/>
    <col min="514" max="514" width="28.5546875" style="105" customWidth="1"/>
    <col min="515" max="515" width="12.88671875" style="105" customWidth="1"/>
    <col min="516" max="516" width="5" style="105" customWidth="1"/>
    <col min="517" max="517" width="5.109375" style="105" customWidth="1"/>
    <col min="518" max="518" width="28.88671875" style="105" customWidth="1"/>
    <col min="519" max="519" width="13" style="105" customWidth="1"/>
    <col min="520" max="768" width="9.109375" style="105"/>
    <col min="769" max="769" width="38.109375" style="105" customWidth="1"/>
    <col min="770" max="770" width="28.5546875" style="105" customWidth="1"/>
    <col min="771" max="771" width="12.88671875" style="105" customWidth="1"/>
    <col min="772" max="772" width="5" style="105" customWidth="1"/>
    <col min="773" max="773" width="5.109375" style="105" customWidth="1"/>
    <col min="774" max="774" width="28.88671875" style="105" customWidth="1"/>
    <col min="775" max="775" width="13" style="105" customWidth="1"/>
    <col min="776" max="1024" width="9.109375" style="105"/>
    <col min="1025" max="1025" width="38.109375" style="105" customWidth="1"/>
    <col min="1026" max="1026" width="28.5546875" style="105" customWidth="1"/>
    <col min="1027" max="1027" width="12.88671875" style="105" customWidth="1"/>
    <col min="1028" max="1028" width="5" style="105" customWidth="1"/>
    <col min="1029" max="1029" width="5.109375" style="105" customWidth="1"/>
    <col min="1030" max="1030" width="28.88671875" style="105" customWidth="1"/>
    <col min="1031" max="1031" width="13" style="105" customWidth="1"/>
    <col min="1032" max="1280" width="9.109375" style="105"/>
    <col min="1281" max="1281" width="38.109375" style="105" customWidth="1"/>
    <col min="1282" max="1282" width="28.5546875" style="105" customWidth="1"/>
    <col min="1283" max="1283" width="12.88671875" style="105" customWidth="1"/>
    <col min="1284" max="1284" width="5" style="105" customWidth="1"/>
    <col min="1285" max="1285" width="5.109375" style="105" customWidth="1"/>
    <col min="1286" max="1286" width="28.88671875" style="105" customWidth="1"/>
    <col min="1287" max="1287" width="13" style="105" customWidth="1"/>
    <col min="1288" max="1536" width="9.109375" style="105"/>
    <col min="1537" max="1537" width="38.109375" style="105" customWidth="1"/>
    <col min="1538" max="1538" width="28.5546875" style="105" customWidth="1"/>
    <col min="1539" max="1539" width="12.88671875" style="105" customWidth="1"/>
    <col min="1540" max="1540" width="5" style="105" customWidth="1"/>
    <col min="1541" max="1541" width="5.109375" style="105" customWidth="1"/>
    <col min="1542" max="1542" width="28.88671875" style="105" customWidth="1"/>
    <col min="1543" max="1543" width="13" style="105" customWidth="1"/>
    <col min="1544" max="1792" width="9.109375" style="105"/>
    <col min="1793" max="1793" width="38.109375" style="105" customWidth="1"/>
    <col min="1794" max="1794" width="28.5546875" style="105" customWidth="1"/>
    <col min="1795" max="1795" width="12.88671875" style="105" customWidth="1"/>
    <col min="1796" max="1796" width="5" style="105" customWidth="1"/>
    <col min="1797" max="1797" width="5.109375" style="105" customWidth="1"/>
    <col min="1798" max="1798" width="28.88671875" style="105" customWidth="1"/>
    <col min="1799" max="1799" width="13" style="105" customWidth="1"/>
    <col min="1800" max="2048" width="9.109375" style="105"/>
    <col min="2049" max="2049" width="38.109375" style="105" customWidth="1"/>
    <col min="2050" max="2050" width="28.5546875" style="105" customWidth="1"/>
    <col min="2051" max="2051" width="12.88671875" style="105" customWidth="1"/>
    <col min="2052" max="2052" width="5" style="105" customWidth="1"/>
    <col min="2053" max="2053" width="5.109375" style="105" customWidth="1"/>
    <col min="2054" max="2054" width="28.88671875" style="105" customWidth="1"/>
    <col min="2055" max="2055" width="13" style="105" customWidth="1"/>
    <col min="2056" max="2304" width="9.109375" style="105"/>
    <col min="2305" max="2305" width="38.109375" style="105" customWidth="1"/>
    <col min="2306" max="2306" width="28.5546875" style="105" customWidth="1"/>
    <col min="2307" max="2307" width="12.88671875" style="105" customWidth="1"/>
    <col min="2308" max="2308" width="5" style="105" customWidth="1"/>
    <col min="2309" max="2309" width="5.109375" style="105" customWidth="1"/>
    <col min="2310" max="2310" width="28.88671875" style="105" customWidth="1"/>
    <col min="2311" max="2311" width="13" style="105" customWidth="1"/>
    <col min="2312" max="2560" width="9.109375" style="105"/>
    <col min="2561" max="2561" width="38.109375" style="105" customWidth="1"/>
    <col min="2562" max="2562" width="28.5546875" style="105" customWidth="1"/>
    <col min="2563" max="2563" width="12.88671875" style="105" customWidth="1"/>
    <col min="2564" max="2564" width="5" style="105" customWidth="1"/>
    <col min="2565" max="2565" width="5.109375" style="105" customWidth="1"/>
    <col min="2566" max="2566" width="28.88671875" style="105" customWidth="1"/>
    <col min="2567" max="2567" width="13" style="105" customWidth="1"/>
    <col min="2568" max="2816" width="9.109375" style="105"/>
    <col min="2817" max="2817" width="38.109375" style="105" customWidth="1"/>
    <col min="2818" max="2818" width="28.5546875" style="105" customWidth="1"/>
    <col min="2819" max="2819" width="12.88671875" style="105" customWidth="1"/>
    <col min="2820" max="2820" width="5" style="105" customWidth="1"/>
    <col min="2821" max="2821" width="5.109375" style="105" customWidth="1"/>
    <col min="2822" max="2822" width="28.88671875" style="105" customWidth="1"/>
    <col min="2823" max="2823" width="13" style="105" customWidth="1"/>
    <col min="2824" max="3072" width="9.109375" style="105"/>
    <col min="3073" max="3073" width="38.109375" style="105" customWidth="1"/>
    <col min="3074" max="3074" width="28.5546875" style="105" customWidth="1"/>
    <col min="3075" max="3075" width="12.88671875" style="105" customWidth="1"/>
    <col min="3076" max="3076" width="5" style="105" customWidth="1"/>
    <col min="3077" max="3077" width="5.109375" style="105" customWidth="1"/>
    <col min="3078" max="3078" width="28.88671875" style="105" customWidth="1"/>
    <col min="3079" max="3079" width="13" style="105" customWidth="1"/>
    <col min="3080" max="3328" width="9.109375" style="105"/>
    <col min="3329" max="3329" width="38.109375" style="105" customWidth="1"/>
    <col min="3330" max="3330" width="28.5546875" style="105" customWidth="1"/>
    <col min="3331" max="3331" width="12.88671875" style="105" customWidth="1"/>
    <col min="3332" max="3332" width="5" style="105" customWidth="1"/>
    <col min="3333" max="3333" width="5.109375" style="105" customWidth="1"/>
    <col min="3334" max="3334" width="28.88671875" style="105" customWidth="1"/>
    <col min="3335" max="3335" width="13" style="105" customWidth="1"/>
    <col min="3336" max="3584" width="9.109375" style="105"/>
    <col min="3585" max="3585" width="38.109375" style="105" customWidth="1"/>
    <col min="3586" max="3586" width="28.5546875" style="105" customWidth="1"/>
    <col min="3587" max="3587" width="12.88671875" style="105" customWidth="1"/>
    <col min="3588" max="3588" width="5" style="105" customWidth="1"/>
    <col min="3589" max="3589" width="5.109375" style="105" customWidth="1"/>
    <col min="3590" max="3590" width="28.88671875" style="105" customWidth="1"/>
    <col min="3591" max="3591" width="13" style="105" customWidth="1"/>
    <col min="3592" max="3840" width="9.109375" style="105"/>
    <col min="3841" max="3841" width="38.109375" style="105" customWidth="1"/>
    <col min="3842" max="3842" width="28.5546875" style="105" customWidth="1"/>
    <col min="3843" max="3843" width="12.88671875" style="105" customWidth="1"/>
    <col min="3844" max="3844" width="5" style="105" customWidth="1"/>
    <col min="3845" max="3845" width="5.109375" style="105" customWidth="1"/>
    <col min="3846" max="3846" width="28.88671875" style="105" customWidth="1"/>
    <col min="3847" max="3847" width="13" style="105" customWidth="1"/>
    <col min="3848" max="4096" width="9.109375" style="105"/>
    <col min="4097" max="4097" width="38.109375" style="105" customWidth="1"/>
    <col min="4098" max="4098" width="28.5546875" style="105" customWidth="1"/>
    <col min="4099" max="4099" width="12.88671875" style="105" customWidth="1"/>
    <col min="4100" max="4100" width="5" style="105" customWidth="1"/>
    <col min="4101" max="4101" width="5.109375" style="105" customWidth="1"/>
    <col min="4102" max="4102" width="28.88671875" style="105" customWidth="1"/>
    <col min="4103" max="4103" width="13" style="105" customWidth="1"/>
    <col min="4104" max="4352" width="9.109375" style="105"/>
    <col min="4353" max="4353" width="38.109375" style="105" customWidth="1"/>
    <col min="4354" max="4354" width="28.5546875" style="105" customWidth="1"/>
    <col min="4355" max="4355" width="12.88671875" style="105" customWidth="1"/>
    <col min="4356" max="4356" width="5" style="105" customWidth="1"/>
    <col min="4357" max="4357" width="5.109375" style="105" customWidth="1"/>
    <col min="4358" max="4358" width="28.88671875" style="105" customWidth="1"/>
    <col min="4359" max="4359" width="13" style="105" customWidth="1"/>
    <col min="4360" max="4608" width="9.109375" style="105"/>
    <col min="4609" max="4609" width="38.109375" style="105" customWidth="1"/>
    <col min="4610" max="4610" width="28.5546875" style="105" customWidth="1"/>
    <col min="4611" max="4611" width="12.88671875" style="105" customWidth="1"/>
    <col min="4612" max="4612" width="5" style="105" customWidth="1"/>
    <col min="4613" max="4613" width="5.109375" style="105" customWidth="1"/>
    <col min="4614" max="4614" width="28.88671875" style="105" customWidth="1"/>
    <col min="4615" max="4615" width="13" style="105" customWidth="1"/>
    <col min="4616" max="4864" width="9.109375" style="105"/>
    <col min="4865" max="4865" width="38.109375" style="105" customWidth="1"/>
    <col min="4866" max="4866" width="28.5546875" style="105" customWidth="1"/>
    <col min="4867" max="4867" width="12.88671875" style="105" customWidth="1"/>
    <col min="4868" max="4868" width="5" style="105" customWidth="1"/>
    <col min="4869" max="4869" width="5.109375" style="105" customWidth="1"/>
    <col min="4870" max="4870" width="28.88671875" style="105" customWidth="1"/>
    <col min="4871" max="4871" width="13" style="105" customWidth="1"/>
    <col min="4872" max="5120" width="9.109375" style="105"/>
    <col min="5121" max="5121" width="38.109375" style="105" customWidth="1"/>
    <col min="5122" max="5122" width="28.5546875" style="105" customWidth="1"/>
    <col min="5123" max="5123" width="12.88671875" style="105" customWidth="1"/>
    <col min="5124" max="5124" width="5" style="105" customWidth="1"/>
    <col min="5125" max="5125" width="5.109375" style="105" customWidth="1"/>
    <col min="5126" max="5126" width="28.88671875" style="105" customWidth="1"/>
    <col min="5127" max="5127" width="13" style="105" customWidth="1"/>
    <col min="5128" max="5376" width="9.109375" style="105"/>
    <col min="5377" max="5377" width="38.109375" style="105" customWidth="1"/>
    <col min="5378" max="5378" width="28.5546875" style="105" customWidth="1"/>
    <col min="5379" max="5379" width="12.88671875" style="105" customWidth="1"/>
    <col min="5380" max="5380" width="5" style="105" customWidth="1"/>
    <col min="5381" max="5381" width="5.109375" style="105" customWidth="1"/>
    <col min="5382" max="5382" width="28.88671875" style="105" customWidth="1"/>
    <col min="5383" max="5383" width="13" style="105" customWidth="1"/>
    <col min="5384" max="5632" width="9.109375" style="105"/>
    <col min="5633" max="5633" width="38.109375" style="105" customWidth="1"/>
    <col min="5634" max="5634" width="28.5546875" style="105" customWidth="1"/>
    <col min="5635" max="5635" width="12.88671875" style="105" customWidth="1"/>
    <col min="5636" max="5636" width="5" style="105" customWidth="1"/>
    <col min="5637" max="5637" width="5.109375" style="105" customWidth="1"/>
    <col min="5638" max="5638" width="28.88671875" style="105" customWidth="1"/>
    <col min="5639" max="5639" width="13" style="105" customWidth="1"/>
    <col min="5640" max="5888" width="9.109375" style="105"/>
    <col min="5889" max="5889" width="38.109375" style="105" customWidth="1"/>
    <col min="5890" max="5890" width="28.5546875" style="105" customWidth="1"/>
    <col min="5891" max="5891" width="12.88671875" style="105" customWidth="1"/>
    <col min="5892" max="5892" width="5" style="105" customWidth="1"/>
    <col min="5893" max="5893" width="5.109375" style="105" customWidth="1"/>
    <col min="5894" max="5894" width="28.88671875" style="105" customWidth="1"/>
    <col min="5895" max="5895" width="13" style="105" customWidth="1"/>
    <col min="5896" max="6144" width="9.109375" style="105"/>
    <col min="6145" max="6145" width="38.109375" style="105" customWidth="1"/>
    <col min="6146" max="6146" width="28.5546875" style="105" customWidth="1"/>
    <col min="6147" max="6147" width="12.88671875" style="105" customWidth="1"/>
    <col min="6148" max="6148" width="5" style="105" customWidth="1"/>
    <col min="6149" max="6149" width="5.109375" style="105" customWidth="1"/>
    <col min="6150" max="6150" width="28.88671875" style="105" customWidth="1"/>
    <col min="6151" max="6151" width="13" style="105" customWidth="1"/>
    <col min="6152" max="6400" width="9.109375" style="105"/>
    <col min="6401" max="6401" width="38.109375" style="105" customWidth="1"/>
    <col min="6402" max="6402" width="28.5546875" style="105" customWidth="1"/>
    <col min="6403" max="6403" width="12.88671875" style="105" customWidth="1"/>
    <col min="6404" max="6404" width="5" style="105" customWidth="1"/>
    <col min="6405" max="6405" width="5.109375" style="105" customWidth="1"/>
    <col min="6406" max="6406" width="28.88671875" style="105" customWidth="1"/>
    <col min="6407" max="6407" width="13" style="105" customWidth="1"/>
    <col min="6408" max="6656" width="9.109375" style="105"/>
    <col min="6657" max="6657" width="38.109375" style="105" customWidth="1"/>
    <col min="6658" max="6658" width="28.5546875" style="105" customWidth="1"/>
    <col min="6659" max="6659" width="12.88671875" style="105" customWidth="1"/>
    <col min="6660" max="6660" width="5" style="105" customWidth="1"/>
    <col min="6661" max="6661" width="5.109375" style="105" customWidth="1"/>
    <col min="6662" max="6662" width="28.88671875" style="105" customWidth="1"/>
    <col min="6663" max="6663" width="13" style="105" customWidth="1"/>
    <col min="6664" max="6912" width="9.109375" style="105"/>
    <col min="6913" max="6913" width="38.109375" style="105" customWidth="1"/>
    <col min="6914" max="6914" width="28.5546875" style="105" customWidth="1"/>
    <col min="6915" max="6915" width="12.88671875" style="105" customWidth="1"/>
    <col min="6916" max="6916" width="5" style="105" customWidth="1"/>
    <col min="6917" max="6917" width="5.109375" style="105" customWidth="1"/>
    <col min="6918" max="6918" width="28.88671875" style="105" customWidth="1"/>
    <col min="6919" max="6919" width="13" style="105" customWidth="1"/>
    <col min="6920" max="7168" width="9.109375" style="105"/>
    <col min="7169" max="7169" width="38.109375" style="105" customWidth="1"/>
    <col min="7170" max="7170" width="28.5546875" style="105" customWidth="1"/>
    <col min="7171" max="7171" width="12.88671875" style="105" customWidth="1"/>
    <col min="7172" max="7172" width="5" style="105" customWidth="1"/>
    <col min="7173" max="7173" width="5.109375" style="105" customWidth="1"/>
    <col min="7174" max="7174" width="28.88671875" style="105" customWidth="1"/>
    <col min="7175" max="7175" width="13" style="105" customWidth="1"/>
    <col min="7176" max="7424" width="9.109375" style="105"/>
    <col min="7425" max="7425" width="38.109375" style="105" customWidth="1"/>
    <col min="7426" max="7426" width="28.5546875" style="105" customWidth="1"/>
    <col min="7427" max="7427" width="12.88671875" style="105" customWidth="1"/>
    <col min="7428" max="7428" width="5" style="105" customWidth="1"/>
    <col min="7429" max="7429" width="5.109375" style="105" customWidth="1"/>
    <col min="7430" max="7430" width="28.88671875" style="105" customWidth="1"/>
    <col min="7431" max="7431" width="13" style="105" customWidth="1"/>
    <col min="7432" max="7680" width="9.109375" style="105"/>
    <col min="7681" max="7681" width="38.109375" style="105" customWidth="1"/>
    <col min="7682" max="7682" width="28.5546875" style="105" customWidth="1"/>
    <col min="7683" max="7683" width="12.88671875" style="105" customWidth="1"/>
    <col min="7684" max="7684" width="5" style="105" customWidth="1"/>
    <col min="7685" max="7685" width="5.109375" style="105" customWidth="1"/>
    <col min="7686" max="7686" width="28.88671875" style="105" customWidth="1"/>
    <col min="7687" max="7687" width="13" style="105" customWidth="1"/>
    <col min="7688" max="7936" width="9.109375" style="105"/>
    <col min="7937" max="7937" width="38.109375" style="105" customWidth="1"/>
    <col min="7938" max="7938" width="28.5546875" style="105" customWidth="1"/>
    <col min="7939" max="7939" width="12.88671875" style="105" customWidth="1"/>
    <col min="7940" max="7940" width="5" style="105" customWidth="1"/>
    <col min="7941" max="7941" width="5.109375" style="105" customWidth="1"/>
    <col min="7942" max="7942" width="28.88671875" style="105" customWidth="1"/>
    <col min="7943" max="7943" width="13" style="105" customWidth="1"/>
    <col min="7944" max="8192" width="9.109375" style="105"/>
    <col min="8193" max="8193" width="38.109375" style="105" customWidth="1"/>
    <col min="8194" max="8194" width="28.5546875" style="105" customWidth="1"/>
    <col min="8195" max="8195" width="12.88671875" style="105" customWidth="1"/>
    <col min="8196" max="8196" width="5" style="105" customWidth="1"/>
    <col min="8197" max="8197" width="5.109375" style="105" customWidth="1"/>
    <col min="8198" max="8198" width="28.88671875" style="105" customWidth="1"/>
    <col min="8199" max="8199" width="13" style="105" customWidth="1"/>
    <col min="8200" max="8448" width="9.109375" style="105"/>
    <col min="8449" max="8449" width="38.109375" style="105" customWidth="1"/>
    <col min="8450" max="8450" width="28.5546875" style="105" customWidth="1"/>
    <col min="8451" max="8451" width="12.88671875" style="105" customWidth="1"/>
    <col min="8452" max="8452" width="5" style="105" customWidth="1"/>
    <col min="8453" max="8453" width="5.109375" style="105" customWidth="1"/>
    <col min="8454" max="8454" width="28.88671875" style="105" customWidth="1"/>
    <col min="8455" max="8455" width="13" style="105" customWidth="1"/>
    <col min="8456" max="8704" width="9.109375" style="105"/>
    <col min="8705" max="8705" width="38.109375" style="105" customWidth="1"/>
    <col min="8706" max="8706" width="28.5546875" style="105" customWidth="1"/>
    <col min="8707" max="8707" width="12.88671875" style="105" customWidth="1"/>
    <col min="8708" max="8708" width="5" style="105" customWidth="1"/>
    <col min="8709" max="8709" width="5.109375" style="105" customWidth="1"/>
    <col min="8710" max="8710" width="28.88671875" style="105" customWidth="1"/>
    <col min="8711" max="8711" width="13" style="105" customWidth="1"/>
    <col min="8712" max="8960" width="9.109375" style="105"/>
    <col min="8961" max="8961" width="38.109375" style="105" customWidth="1"/>
    <col min="8962" max="8962" width="28.5546875" style="105" customWidth="1"/>
    <col min="8963" max="8963" width="12.88671875" style="105" customWidth="1"/>
    <col min="8964" max="8964" width="5" style="105" customWidth="1"/>
    <col min="8965" max="8965" width="5.109375" style="105" customWidth="1"/>
    <col min="8966" max="8966" width="28.88671875" style="105" customWidth="1"/>
    <col min="8967" max="8967" width="13" style="105" customWidth="1"/>
    <col min="8968" max="9216" width="9.109375" style="105"/>
    <col min="9217" max="9217" width="38.109375" style="105" customWidth="1"/>
    <col min="9218" max="9218" width="28.5546875" style="105" customWidth="1"/>
    <col min="9219" max="9219" width="12.88671875" style="105" customWidth="1"/>
    <col min="9220" max="9220" width="5" style="105" customWidth="1"/>
    <col min="9221" max="9221" width="5.109375" style="105" customWidth="1"/>
    <col min="9222" max="9222" width="28.88671875" style="105" customWidth="1"/>
    <col min="9223" max="9223" width="13" style="105" customWidth="1"/>
    <col min="9224" max="9472" width="9.109375" style="105"/>
    <col min="9473" max="9473" width="38.109375" style="105" customWidth="1"/>
    <col min="9474" max="9474" width="28.5546875" style="105" customWidth="1"/>
    <col min="9475" max="9475" width="12.88671875" style="105" customWidth="1"/>
    <col min="9476" max="9476" width="5" style="105" customWidth="1"/>
    <col min="9477" max="9477" width="5.109375" style="105" customWidth="1"/>
    <col min="9478" max="9478" width="28.88671875" style="105" customWidth="1"/>
    <col min="9479" max="9479" width="13" style="105" customWidth="1"/>
    <col min="9480" max="9728" width="9.109375" style="105"/>
    <col min="9729" max="9729" width="38.109375" style="105" customWidth="1"/>
    <col min="9730" max="9730" width="28.5546875" style="105" customWidth="1"/>
    <col min="9731" max="9731" width="12.88671875" style="105" customWidth="1"/>
    <col min="9732" max="9732" width="5" style="105" customWidth="1"/>
    <col min="9733" max="9733" width="5.109375" style="105" customWidth="1"/>
    <col min="9734" max="9734" width="28.88671875" style="105" customWidth="1"/>
    <col min="9735" max="9735" width="13" style="105" customWidth="1"/>
    <col min="9736" max="9984" width="9.109375" style="105"/>
    <col min="9985" max="9985" width="38.109375" style="105" customWidth="1"/>
    <col min="9986" max="9986" width="28.5546875" style="105" customWidth="1"/>
    <col min="9987" max="9987" width="12.88671875" style="105" customWidth="1"/>
    <col min="9988" max="9988" width="5" style="105" customWidth="1"/>
    <col min="9989" max="9989" width="5.109375" style="105" customWidth="1"/>
    <col min="9990" max="9990" width="28.88671875" style="105" customWidth="1"/>
    <col min="9991" max="9991" width="13" style="105" customWidth="1"/>
    <col min="9992" max="10240" width="9.109375" style="105"/>
    <col min="10241" max="10241" width="38.109375" style="105" customWidth="1"/>
    <col min="10242" max="10242" width="28.5546875" style="105" customWidth="1"/>
    <col min="10243" max="10243" width="12.88671875" style="105" customWidth="1"/>
    <col min="10244" max="10244" width="5" style="105" customWidth="1"/>
    <col min="10245" max="10245" width="5.109375" style="105" customWidth="1"/>
    <col min="10246" max="10246" width="28.88671875" style="105" customWidth="1"/>
    <col min="10247" max="10247" width="13" style="105" customWidth="1"/>
    <col min="10248" max="10496" width="9.109375" style="105"/>
    <col min="10497" max="10497" width="38.109375" style="105" customWidth="1"/>
    <col min="10498" max="10498" width="28.5546875" style="105" customWidth="1"/>
    <col min="10499" max="10499" width="12.88671875" style="105" customWidth="1"/>
    <col min="10500" max="10500" width="5" style="105" customWidth="1"/>
    <col min="10501" max="10501" width="5.109375" style="105" customWidth="1"/>
    <col min="10502" max="10502" width="28.88671875" style="105" customWidth="1"/>
    <col min="10503" max="10503" width="13" style="105" customWidth="1"/>
    <col min="10504" max="10752" width="9.109375" style="105"/>
    <col min="10753" max="10753" width="38.109375" style="105" customWidth="1"/>
    <col min="10754" max="10754" width="28.5546875" style="105" customWidth="1"/>
    <col min="10755" max="10755" width="12.88671875" style="105" customWidth="1"/>
    <col min="10756" max="10756" width="5" style="105" customWidth="1"/>
    <col min="10757" max="10757" width="5.109375" style="105" customWidth="1"/>
    <col min="10758" max="10758" width="28.88671875" style="105" customWidth="1"/>
    <col min="10759" max="10759" width="13" style="105" customWidth="1"/>
    <col min="10760" max="11008" width="9.109375" style="105"/>
    <col min="11009" max="11009" width="38.109375" style="105" customWidth="1"/>
    <col min="11010" max="11010" width="28.5546875" style="105" customWidth="1"/>
    <col min="11011" max="11011" width="12.88671875" style="105" customWidth="1"/>
    <col min="11012" max="11012" width="5" style="105" customWidth="1"/>
    <col min="11013" max="11013" width="5.109375" style="105" customWidth="1"/>
    <col min="11014" max="11014" width="28.88671875" style="105" customWidth="1"/>
    <col min="11015" max="11015" width="13" style="105" customWidth="1"/>
    <col min="11016" max="11264" width="9.109375" style="105"/>
    <col min="11265" max="11265" width="38.109375" style="105" customWidth="1"/>
    <col min="11266" max="11266" width="28.5546875" style="105" customWidth="1"/>
    <col min="11267" max="11267" width="12.88671875" style="105" customWidth="1"/>
    <col min="11268" max="11268" width="5" style="105" customWidth="1"/>
    <col min="11269" max="11269" width="5.109375" style="105" customWidth="1"/>
    <col min="11270" max="11270" width="28.88671875" style="105" customWidth="1"/>
    <col min="11271" max="11271" width="13" style="105" customWidth="1"/>
    <col min="11272" max="11520" width="9.109375" style="105"/>
    <col min="11521" max="11521" width="38.109375" style="105" customWidth="1"/>
    <col min="11522" max="11522" width="28.5546875" style="105" customWidth="1"/>
    <col min="11523" max="11523" width="12.88671875" style="105" customWidth="1"/>
    <col min="11524" max="11524" width="5" style="105" customWidth="1"/>
    <col min="11525" max="11525" width="5.109375" style="105" customWidth="1"/>
    <col min="11526" max="11526" width="28.88671875" style="105" customWidth="1"/>
    <col min="11527" max="11527" width="13" style="105" customWidth="1"/>
    <col min="11528" max="11776" width="9.109375" style="105"/>
    <col min="11777" max="11777" width="38.109375" style="105" customWidth="1"/>
    <col min="11778" max="11778" width="28.5546875" style="105" customWidth="1"/>
    <col min="11779" max="11779" width="12.88671875" style="105" customWidth="1"/>
    <col min="11780" max="11780" width="5" style="105" customWidth="1"/>
    <col min="11781" max="11781" width="5.109375" style="105" customWidth="1"/>
    <col min="11782" max="11782" width="28.88671875" style="105" customWidth="1"/>
    <col min="11783" max="11783" width="13" style="105" customWidth="1"/>
    <col min="11784" max="12032" width="9.109375" style="105"/>
    <col min="12033" max="12033" width="38.109375" style="105" customWidth="1"/>
    <col min="12034" max="12034" width="28.5546875" style="105" customWidth="1"/>
    <col min="12035" max="12035" width="12.88671875" style="105" customWidth="1"/>
    <col min="12036" max="12036" width="5" style="105" customWidth="1"/>
    <col min="12037" max="12037" width="5.109375" style="105" customWidth="1"/>
    <col min="12038" max="12038" width="28.88671875" style="105" customWidth="1"/>
    <col min="12039" max="12039" width="13" style="105" customWidth="1"/>
    <col min="12040" max="12288" width="9.109375" style="105"/>
    <col min="12289" max="12289" width="38.109375" style="105" customWidth="1"/>
    <col min="12290" max="12290" width="28.5546875" style="105" customWidth="1"/>
    <col min="12291" max="12291" width="12.88671875" style="105" customWidth="1"/>
    <col min="12292" max="12292" width="5" style="105" customWidth="1"/>
    <col min="12293" max="12293" width="5.109375" style="105" customWidth="1"/>
    <col min="12294" max="12294" width="28.88671875" style="105" customWidth="1"/>
    <col min="12295" max="12295" width="13" style="105" customWidth="1"/>
    <col min="12296" max="12544" width="9.109375" style="105"/>
    <col min="12545" max="12545" width="38.109375" style="105" customWidth="1"/>
    <col min="12546" max="12546" width="28.5546875" style="105" customWidth="1"/>
    <col min="12547" max="12547" width="12.88671875" style="105" customWidth="1"/>
    <col min="12548" max="12548" width="5" style="105" customWidth="1"/>
    <col min="12549" max="12549" width="5.109375" style="105" customWidth="1"/>
    <col min="12550" max="12550" width="28.88671875" style="105" customWidth="1"/>
    <col min="12551" max="12551" width="13" style="105" customWidth="1"/>
    <col min="12552" max="12800" width="9.109375" style="105"/>
    <col min="12801" max="12801" width="38.109375" style="105" customWidth="1"/>
    <col min="12802" max="12802" width="28.5546875" style="105" customWidth="1"/>
    <col min="12803" max="12803" width="12.88671875" style="105" customWidth="1"/>
    <col min="12804" max="12804" width="5" style="105" customWidth="1"/>
    <col min="12805" max="12805" width="5.109375" style="105" customWidth="1"/>
    <col min="12806" max="12806" width="28.88671875" style="105" customWidth="1"/>
    <col min="12807" max="12807" width="13" style="105" customWidth="1"/>
    <col min="12808" max="13056" width="9.109375" style="105"/>
    <col min="13057" max="13057" width="38.109375" style="105" customWidth="1"/>
    <col min="13058" max="13058" width="28.5546875" style="105" customWidth="1"/>
    <col min="13059" max="13059" width="12.88671875" style="105" customWidth="1"/>
    <col min="13060" max="13060" width="5" style="105" customWidth="1"/>
    <col min="13061" max="13061" width="5.109375" style="105" customWidth="1"/>
    <col min="13062" max="13062" width="28.88671875" style="105" customWidth="1"/>
    <col min="13063" max="13063" width="13" style="105" customWidth="1"/>
    <col min="13064" max="13312" width="9.109375" style="105"/>
    <col min="13313" max="13313" width="38.109375" style="105" customWidth="1"/>
    <col min="13314" max="13314" width="28.5546875" style="105" customWidth="1"/>
    <col min="13315" max="13315" width="12.88671875" style="105" customWidth="1"/>
    <col min="13316" max="13316" width="5" style="105" customWidth="1"/>
    <col min="13317" max="13317" width="5.109375" style="105" customWidth="1"/>
    <col min="13318" max="13318" width="28.88671875" style="105" customWidth="1"/>
    <col min="13319" max="13319" width="13" style="105" customWidth="1"/>
    <col min="13320" max="13568" width="9.109375" style="105"/>
    <col min="13569" max="13569" width="38.109375" style="105" customWidth="1"/>
    <col min="13570" max="13570" width="28.5546875" style="105" customWidth="1"/>
    <col min="13571" max="13571" width="12.88671875" style="105" customWidth="1"/>
    <col min="13572" max="13572" width="5" style="105" customWidth="1"/>
    <col min="13573" max="13573" width="5.109375" style="105" customWidth="1"/>
    <col min="13574" max="13574" width="28.88671875" style="105" customWidth="1"/>
    <col min="13575" max="13575" width="13" style="105" customWidth="1"/>
    <col min="13576" max="13824" width="9.109375" style="105"/>
    <col min="13825" max="13825" width="38.109375" style="105" customWidth="1"/>
    <col min="13826" max="13826" width="28.5546875" style="105" customWidth="1"/>
    <col min="13827" max="13827" width="12.88671875" style="105" customWidth="1"/>
    <col min="13828" max="13828" width="5" style="105" customWidth="1"/>
    <col min="13829" max="13829" width="5.109375" style="105" customWidth="1"/>
    <col min="13830" max="13830" width="28.88671875" style="105" customWidth="1"/>
    <col min="13831" max="13831" width="13" style="105" customWidth="1"/>
    <col min="13832" max="14080" width="9.109375" style="105"/>
    <col min="14081" max="14081" width="38.109375" style="105" customWidth="1"/>
    <col min="14082" max="14082" width="28.5546875" style="105" customWidth="1"/>
    <col min="14083" max="14083" width="12.88671875" style="105" customWidth="1"/>
    <col min="14084" max="14084" width="5" style="105" customWidth="1"/>
    <col min="14085" max="14085" width="5.109375" style="105" customWidth="1"/>
    <col min="14086" max="14086" width="28.88671875" style="105" customWidth="1"/>
    <col min="14087" max="14087" width="13" style="105" customWidth="1"/>
    <col min="14088" max="14336" width="9.109375" style="105"/>
    <col min="14337" max="14337" width="38.109375" style="105" customWidth="1"/>
    <col min="14338" max="14338" width="28.5546875" style="105" customWidth="1"/>
    <col min="14339" max="14339" width="12.88671875" style="105" customWidth="1"/>
    <col min="14340" max="14340" width="5" style="105" customWidth="1"/>
    <col min="14341" max="14341" width="5.109375" style="105" customWidth="1"/>
    <col min="14342" max="14342" width="28.88671875" style="105" customWidth="1"/>
    <col min="14343" max="14343" width="13" style="105" customWidth="1"/>
    <col min="14344" max="14592" width="9.109375" style="105"/>
    <col min="14593" max="14593" width="38.109375" style="105" customWidth="1"/>
    <col min="14594" max="14594" width="28.5546875" style="105" customWidth="1"/>
    <col min="14595" max="14595" width="12.88671875" style="105" customWidth="1"/>
    <col min="14596" max="14596" width="5" style="105" customWidth="1"/>
    <col min="14597" max="14597" width="5.109375" style="105" customWidth="1"/>
    <col min="14598" max="14598" width="28.88671875" style="105" customWidth="1"/>
    <col min="14599" max="14599" width="13" style="105" customWidth="1"/>
    <col min="14600" max="14848" width="9.109375" style="105"/>
    <col min="14849" max="14849" width="38.109375" style="105" customWidth="1"/>
    <col min="14850" max="14850" width="28.5546875" style="105" customWidth="1"/>
    <col min="14851" max="14851" width="12.88671875" style="105" customWidth="1"/>
    <col min="14852" max="14852" width="5" style="105" customWidth="1"/>
    <col min="14853" max="14853" width="5.109375" style="105" customWidth="1"/>
    <col min="14854" max="14854" width="28.88671875" style="105" customWidth="1"/>
    <col min="14855" max="14855" width="13" style="105" customWidth="1"/>
    <col min="14856" max="15104" width="9.109375" style="105"/>
    <col min="15105" max="15105" width="38.109375" style="105" customWidth="1"/>
    <col min="15106" max="15106" width="28.5546875" style="105" customWidth="1"/>
    <col min="15107" max="15107" width="12.88671875" style="105" customWidth="1"/>
    <col min="15108" max="15108" width="5" style="105" customWidth="1"/>
    <col min="15109" max="15109" width="5.109375" style="105" customWidth="1"/>
    <col min="15110" max="15110" width="28.88671875" style="105" customWidth="1"/>
    <col min="15111" max="15111" width="13" style="105" customWidth="1"/>
    <col min="15112" max="15360" width="9.109375" style="105"/>
    <col min="15361" max="15361" width="38.109375" style="105" customWidth="1"/>
    <col min="15362" max="15362" width="28.5546875" style="105" customWidth="1"/>
    <col min="15363" max="15363" width="12.88671875" style="105" customWidth="1"/>
    <col min="15364" max="15364" width="5" style="105" customWidth="1"/>
    <col min="15365" max="15365" width="5.109375" style="105" customWidth="1"/>
    <col min="15366" max="15366" width="28.88671875" style="105" customWidth="1"/>
    <col min="15367" max="15367" width="13" style="105" customWidth="1"/>
    <col min="15368" max="15616" width="9.109375" style="105"/>
    <col min="15617" max="15617" width="38.109375" style="105" customWidth="1"/>
    <col min="15618" max="15618" width="28.5546875" style="105" customWidth="1"/>
    <col min="15619" max="15619" width="12.88671875" style="105" customWidth="1"/>
    <col min="15620" max="15620" width="5" style="105" customWidth="1"/>
    <col min="15621" max="15621" width="5.109375" style="105" customWidth="1"/>
    <col min="15622" max="15622" width="28.88671875" style="105" customWidth="1"/>
    <col min="15623" max="15623" width="13" style="105" customWidth="1"/>
    <col min="15624" max="15872" width="9.109375" style="105"/>
    <col min="15873" max="15873" width="38.109375" style="105" customWidth="1"/>
    <col min="15874" max="15874" width="28.5546875" style="105" customWidth="1"/>
    <col min="15875" max="15875" width="12.88671875" style="105" customWidth="1"/>
    <col min="15876" max="15876" width="5" style="105" customWidth="1"/>
    <col min="15877" max="15877" width="5.109375" style="105" customWidth="1"/>
    <col min="15878" max="15878" width="28.88671875" style="105" customWidth="1"/>
    <col min="15879" max="15879" width="13" style="105" customWidth="1"/>
    <col min="15880" max="16128" width="9.109375" style="105"/>
    <col min="16129" max="16129" width="38.109375" style="105" customWidth="1"/>
    <col min="16130" max="16130" width="28.5546875" style="105" customWidth="1"/>
    <col min="16131" max="16131" width="12.88671875" style="105" customWidth="1"/>
    <col min="16132" max="16132" width="5" style="105" customWidth="1"/>
    <col min="16133" max="16133" width="5.109375" style="105" customWidth="1"/>
    <col min="16134" max="16134" width="28.88671875" style="105" customWidth="1"/>
    <col min="16135" max="16135" width="13" style="105" customWidth="1"/>
    <col min="16136" max="16384" width="9.109375" style="105"/>
  </cols>
  <sheetData>
    <row r="1" spans="1:3" x14ac:dyDescent="0.25">
      <c r="A1" s="104"/>
    </row>
    <row r="3" spans="1:3" ht="17.399999999999999" x14ac:dyDescent="0.3">
      <c r="B3" s="106" t="s">
        <v>210</v>
      </c>
      <c r="C3" s="107"/>
    </row>
    <row r="4" spans="1:3" x14ac:dyDescent="0.25">
      <c r="B4" s="261" t="s">
        <v>61</v>
      </c>
      <c r="C4" s="261"/>
    </row>
    <row r="5" spans="1:3" ht="16.8" x14ac:dyDescent="0.25">
      <c r="B5" s="108" t="s">
        <v>137</v>
      </c>
      <c r="C5" s="109">
        <f>IF((Establishment!C27+'Hop Production'!D40)&gt;'Hop Production'!D10,(Establishment!C27+'Hop Production'!D40)-'Hop Production'!D10,0)</f>
        <v>7547.1174639249621</v>
      </c>
    </row>
    <row r="6" spans="1:3" ht="16.8" x14ac:dyDescent="0.25">
      <c r="B6" s="108" t="s">
        <v>138</v>
      </c>
      <c r="C6" s="163">
        <v>4</v>
      </c>
    </row>
    <row r="7" spans="1:3" x14ac:dyDescent="0.25">
      <c r="B7" s="108" t="s">
        <v>119</v>
      </c>
      <c r="C7" s="164">
        <v>4.4999999999999998E-2</v>
      </c>
    </row>
    <row r="8" spans="1:3" x14ac:dyDescent="0.25">
      <c r="B8" s="262"/>
      <c r="C8" s="262"/>
    </row>
    <row r="9" spans="1:3" x14ac:dyDescent="0.25">
      <c r="B9" s="110" t="s">
        <v>120</v>
      </c>
      <c r="C9" s="111">
        <f>IF(C6=0," ",PMT(C7,C6,C5))</f>
        <v>-2103.7110530755667</v>
      </c>
    </row>
    <row r="10" spans="1:3" x14ac:dyDescent="0.25">
      <c r="B10" s="125" t="s">
        <v>64</v>
      </c>
      <c r="C10" s="126"/>
    </row>
    <row r="11" spans="1:3" s="127" customFormat="1" ht="13.8" customHeight="1" x14ac:dyDescent="0.3">
      <c r="B11" s="173" t="s">
        <v>213</v>
      </c>
      <c r="C11" s="173"/>
    </row>
    <row r="12" spans="1:3" x14ac:dyDescent="0.25">
      <c r="B12" s="112" t="s">
        <v>139</v>
      </c>
      <c r="C12" s="109"/>
    </row>
  </sheetData>
  <protectedRanges>
    <protectedRange sqref="C6:C7" name="Range1"/>
  </protectedRanges>
  <customSheetViews>
    <customSheetView guid="{4DF746F6-C3F2-4BEF-B84D-60D120277636}">
      <pageMargins left="0.7" right="0.7" top="0.75" bottom="0.75" header="0.3" footer="0.3"/>
    </customSheetView>
    <customSheetView guid="{76B766A5-443C-4C54-86C8-F5C661F06BFC}">
      <pageMargins left="0.7" right="0.7" top="0.75" bottom="0.75" header="0.3" footer="0.3"/>
    </customSheetView>
  </customSheetViews>
  <mergeCells count="2">
    <mergeCell ref="B4:C4"/>
    <mergeCell ref="B8:C8"/>
  </mergeCells>
  <pageMargins left="0.7" right="0.7" top="0.75" bottom="0.75" header="0.3" footer="0.3"/>
  <ignoredErrors>
    <ignoredError sqref="C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Assumptions</vt:lpstr>
      <vt:lpstr>Establishment</vt:lpstr>
      <vt:lpstr>Hop Production</vt:lpstr>
      <vt:lpstr>BE Return-Aroma</vt:lpstr>
      <vt:lpstr>Price&amp;Yield Analysis</vt:lpstr>
      <vt:lpstr>App1. Machinery Etc</vt:lpstr>
      <vt:lpstr>App2. Capital Req</vt:lpstr>
      <vt:lpstr>App3. Amortization calc</vt:lpstr>
      <vt:lpstr>Establishment!Print_Area</vt:lpstr>
      <vt:lpstr>'Hop Production'!Print_Area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Suzette P. Galinato</dc:creator>
  <cp:lastModifiedBy>Galinato, Suzette</cp:lastModifiedBy>
  <cp:lastPrinted>2015-02-20T19:18:52Z</cp:lastPrinted>
  <dcterms:created xsi:type="dcterms:W3CDTF">2015-02-17T19:44:11Z</dcterms:created>
  <dcterms:modified xsi:type="dcterms:W3CDTF">2022-04-29T19:11:04Z</dcterms:modified>
</cp:coreProperties>
</file>